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defaultThemeVersion="166925"/>
  <mc:AlternateContent xmlns:mc="http://schemas.openxmlformats.org/markup-compatibility/2006">
    <mc:Choice Requires="x15">
      <x15ac:absPath xmlns:x15ac="http://schemas.microsoft.com/office/spreadsheetml/2010/11/ac" url="G:\CHLE Projects\Families USA - CHW Tool\"/>
    </mc:Choice>
  </mc:AlternateContent>
  <xr:revisionPtr revIDLastSave="0" documentId="13_ncr:1_{33CDF069-CE28-44C7-B46E-94FBFD20EA41}" xr6:coauthVersionLast="37" xr6:coauthVersionMax="37" xr10:uidLastSave="{00000000-0000-0000-0000-000000000000}"/>
  <bookViews>
    <workbookView xWindow="0" yWindow="0" windowWidth="13020" windowHeight="7680" xr2:uid="{00000000-000D-0000-FFFF-FFFF00000000}"/>
  </bookViews>
  <sheets>
    <sheet name="Cover Page" sheetId="15" r:id="rId1"/>
    <sheet name="Contents" sheetId="17" r:id="rId2"/>
    <sheet name="Introduction" sheetId="18" r:id="rId3"/>
    <sheet name="Intervention" sheetId="19" r:id="rId4"/>
    <sheet name="Instructions" sheetId="20" r:id="rId5"/>
    <sheet name="Caseload" sheetId="2" r:id="rId6"/>
    <sheet name="Budget" sheetId="5" r:id="rId7"/>
    <sheet name="Outcomes A" sheetId="3" r:id="rId8"/>
    <sheet name="Outcomes B" sheetId="16" r:id="rId9"/>
    <sheet name="Medical Cost" sheetId="4" r:id="rId10"/>
    <sheet name="Social Return" sheetId="6" r:id="rId11"/>
    <sheet name="ROI" sheetId="7" r:id="rId12"/>
    <sheet name="Other Quality Measures" sheetId="8" r:id="rId13"/>
    <sheet name="Appendix" sheetId="14" r:id="rId14"/>
    <sheet name="Technical Notes" sheetId="21" r:id="rId15"/>
    <sheet name="Citations" sheetId="24" r:id="rId16"/>
    <sheet name="Acknowledgements" sheetId="22" r:id="rId17"/>
  </sheets>
  <definedNames>
    <definedName name="_edn1" localSheetId="3">Intervention!#REF!</definedName>
    <definedName name="_edn3" localSheetId="3">Intervention!#REF!</definedName>
    <definedName name="_ednref1" localSheetId="14">'Technical Notes'!#REF!</definedName>
    <definedName name="_ednref3" localSheetId="3">Intervention!#REF!</definedName>
    <definedName name="_ftn1" localSheetId="3">Intervention!#REF!</definedName>
    <definedName name="_Hlk523487265" localSheetId="4">Instructions!$B$12</definedName>
    <definedName name="_Hlk523488141" localSheetId="4">Instructions!$B$15</definedName>
    <definedName name="_Ref521417029" localSheetId="3">Intervention!#REF!</definedName>
    <definedName name="_Toc523816525" localSheetId="2">Introduction!$A$3</definedName>
    <definedName name="_Toc523816526" localSheetId="3">Intervention!#REF!</definedName>
    <definedName name="_Toc523816527" localSheetId="4">Instructions!$A$2</definedName>
    <definedName name="_Toc523816535" localSheetId="14">'Technical Notes'!$A$1</definedName>
    <definedName name="_Toc523816536" localSheetId="16">Acknowledgements!$A$1</definedName>
    <definedName name="_xlnm.Print_Area" localSheetId="13">Appendix!$A$3:$F$83</definedName>
    <definedName name="_xlnm.Print_Area" localSheetId="6">Budget!$A$1:$E$60</definedName>
    <definedName name="_xlnm.Print_Area" localSheetId="5">Caseload!$A$1:$D$35</definedName>
    <definedName name="_xlnm.Print_Area" localSheetId="0">'Cover Page'!$A$1:$I$39</definedName>
    <definedName name="_xlnm.Print_Area" localSheetId="9">'Medical Cost'!$A$1:$E$52</definedName>
    <definedName name="_xlnm.Print_Area" localSheetId="12">'Other Quality Measures'!$A$1:$D$17</definedName>
    <definedName name="_xlnm.Print_Area" localSheetId="7">'Outcomes A'!$A$1:$D$51</definedName>
    <definedName name="_xlnm.Print_Area" localSheetId="8">'Outcomes B'!$A$1:$D$45</definedName>
    <definedName name="_xlnm.Print_Area" localSheetId="11">ROI!$A$1:$E$42</definedName>
    <definedName name="_xlnm.Print_Area" localSheetId="10">'Social Return'!$A$1:$D$35</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7" i="2" l="1"/>
  <c r="D12" i="2" l="1"/>
  <c r="D10" i="2"/>
  <c r="D13" i="2" s="1"/>
  <c r="E14" i="5" l="1"/>
  <c r="E11" i="5"/>
  <c r="E13" i="5"/>
  <c r="E12" i="5"/>
  <c r="E9" i="5"/>
  <c r="C42" i="3" l="1"/>
  <c r="C36" i="3"/>
  <c r="C30" i="3"/>
  <c r="D9" i="4" l="1"/>
  <c r="D20" i="5"/>
  <c r="D15" i="2"/>
  <c r="D22" i="2" s="1"/>
  <c r="C29" i="16"/>
  <c r="D29" i="16" s="1"/>
  <c r="C28" i="16"/>
  <c r="D28" i="16" s="1"/>
  <c r="D30" i="16" s="1"/>
  <c r="D31" i="16" s="1"/>
  <c r="C35" i="16"/>
  <c r="D35" i="16" s="1"/>
  <c r="C34" i="16"/>
  <c r="D34" i="16" s="1"/>
  <c r="D6" i="2"/>
  <c r="D16" i="2"/>
  <c r="D20" i="2"/>
  <c r="C40" i="16"/>
  <c r="C41" i="16"/>
  <c r="E4" i="5"/>
  <c r="E32" i="5" s="1"/>
  <c r="D29" i="5"/>
  <c r="D19" i="4"/>
  <c r="D18" i="4"/>
  <c r="D17" i="4"/>
  <c r="E16" i="4"/>
  <c r="D16" i="4"/>
  <c r="C16" i="4"/>
  <c r="D12" i="4"/>
  <c r="E12" i="4" s="1"/>
  <c r="D11" i="4"/>
  <c r="E11" i="4" s="1"/>
  <c r="D10" i="4"/>
  <c r="E10" i="4" s="1"/>
  <c r="D22" i="14"/>
  <c r="D23" i="14"/>
  <c r="D24" i="14"/>
  <c r="D25" i="14"/>
  <c r="D26" i="14"/>
  <c r="D27" i="14"/>
  <c r="D28" i="14"/>
  <c r="D29" i="14"/>
  <c r="D30" i="14"/>
  <c r="D31" i="14"/>
  <c r="D32" i="14"/>
  <c r="D33" i="14"/>
  <c r="D34" i="14"/>
  <c r="D35" i="14"/>
  <c r="D36" i="14"/>
  <c r="D37" i="14"/>
  <c r="D38" i="14"/>
  <c r="D39" i="14"/>
  <c r="D40" i="14"/>
  <c r="D41" i="14"/>
  <c r="D42" i="14"/>
  <c r="D43" i="14"/>
  <c r="D44" i="14"/>
  <c r="D45" i="14"/>
  <c r="D46" i="14"/>
  <c r="D47" i="14"/>
  <c r="D48" i="14"/>
  <c r="D49" i="14"/>
  <c r="D50" i="14"/>
  <c r="D51" i="14"/>
  <c r="D52" i="14"/>
  <c r="D53" i="14"/>
  <c r="D54" i="14"/>
  <c r="D55" i="14"/>
  <c r="D56" i="14"/>
  <c r="D57" i="14"/>
  <c r="D58" i="14"/>
  <c r="D59" i="14"/>
  <c r="D60" i="14"/>
  <c r="D62" i="14"/>
  <c r="D63" i="14"/>
  <c r="D64" i="14"/>
  <c r="D65" i="14"/>
  <c r="D66" i="14"/>
  <c r="D67" i="14"/>
  <c r="D68" i="14"/>
  <c r="D70" i="14"/>
  <c r="D71" i="14"/>
  <c r="D72" i="14"/>
  <c r="D73" i="14"/>
  <c r="D74" i="14"/>
  <c r="B19" i="4"/>
  <c r="C22" i="4"/>
  <c r="B22" i="4"/>
  <c r="D21" i="14"/>
  <c r="B18" i="4"/>
  <c r="B17" i="4"/>
  <c r="D22" i="4"/>
  <c r="E22" i="4" s="1"/>
  <c r="E36" i="5" l="1"/>
  <c r="D8" i="5"/>
  <c r="C17" i="4"/>
  <c r="E17" i="4" s="1"/>
  <c r="C18" i="4"/>
  <c r="E18" i="4" s="1"/>
  <c r="C19" i="4"/>
  <c r="E19" i="4" s="1"/>
  <c r="D36" i="16"/>
  <c r="D37" i="16" s="1"/>
  <c r="D32" i="2"/>
  <c r="D30" i="2" s="1"/>
  <c r="D24" i="2"/>
  <c r="D25" i="2" s="1"/>
  <c r="E35" i="5"/>
  <c r="E20" i="5"/>
  <c r="E23" i="5"/>
  <c r="E30" i="5"/>
  <c r="E22" i="5"/>
  <c r="E31" i="5"/>
  <c r="E37" i="5"/>
  <c r="E38" i="5" l="1"/>
  <c r="D9" i="5"/>
  <c r="E8" i="5"/>
  <c r="E16" i="5" s="1"/>
  <c r="E17" i="5" s="1"/>
  <c r="C5" i="7"/>
  <c r="D7" i="16"/>
  <c r="D27" i="3"/>
  <c r="E3" i="5"/>
  <c r="C18" i="6"/>
  <c r="D34" i="2"/>
  <c r="D9" i="6"/>
  <c r="C9" i="6" s="1"/>
  <c r="B24" i="4"/>
  <c r="D25" i="16"/>
  <c r="D8" i="16"/>
  <c r="D15" i="6"/>
  <c r="C15" i="6" s="1"/>
  <c r="B29" i="6" s="1"/>
  <c r="D9" i="16"/>
  <c r="D13" i="16"/>
  <c r="D5" i="7"/>
  <c r="B18" i="6"/>
  <c r="C27" i="3"/>
  <c r="C31" i="3" s="1"/>
  <c r="D10" i="6"/>
  <c r="C10" i="6" s="1"/>
  <c r="B5" i="7"/>
  <c r="C25" i="16"/>
  <c r="D14" i="6"/>
  <c r="C14" i="6" s="1"/>
  <c r="B21" i="6" s="1"/>
  <c r="C24" i="4"/>
  <c r="E24" i="5"/>
  <c r="E5" i="7" l="1"/>
  <c r="D14" i="5"/>
  <c r="E40" i="5" s="1"/>
  <c r="C32" i="3"/>
  <c r="B26" i="4"/>
  <c r="D32" i="3"/>
  <c r="C28" i="4" s="1"/>
  <c r="D31" i="3"/>
  <c r="D24" i="4"/>
  <c r="E24" i="4"/>
  <c r="D16" i="16"/>
  <c r="D19" i="16"/>
  <c r="E28" i="5"/>
  <c r="E29" i="5"/>
  <c r="D40" i="16"/>
  <c r="D41" i="16"/>
  <c r="C43" i="3"/>
  <c r="C37" i="3"/>
  <c r="C21" i="6"/>
  <c r="B23" i="6"/>
  <c r="C23" i="6"/>
  <c r="C24" i="6" s="1"/>
  <c r="B22" i="6"/>
  <c r="B24" i="6" s="1"/>
  <c r="B31" i="6"/>
  <c r="C29" i="6"/>
  <c r="C31" i="6"/>
  <c r="C32" i="6" s="1"/>
  <c r="B30" i="6"/>
  <c r="B32" i="6" s="1"/>
  <c r="D38" i="3"/>
  <c r="C38" i="4" s="1"/>
  <c r="D38" i="4" s="1"/>
  <c r="E38" i="4" s="1"/>
  <c r="D44" i="3"/>
  <c r="C33" i="4" s="1"/>
  <c r="D33" i="4" s="1"/>
  <c r="E33" i="4" s="1"/>
  <c r="D43" i="3"/>
  <c r="D37" i="3"/>
  <c r="C44" i="3" l="1"/>
  <c r="B31" i="4"/>
  <c r="C38" i="3"/>
  <c r="B36" i="4"/>
  <c r="C42" i="4"/>
  <c r="C47" i="4" s="1"/>
  <c r="D28" i="4"/>
  <c r="C37" i="4"/>
  <c r="D39" i="3"/>
  <c r="D40" i="3" s="1"/>
  <c r="C30" i="6"/>
  <c r="C34" i="6" s="1"/>
  <c r="C33" i="6"/>
  <c r="C27" i="4"/>
  <c r="D33" i="3"/>
  <c r="D34" i="3" s="1"/>
  <c r="E33" i="5"/>
  <c r="E41" i="5" s="1"/>
  <c r="C22" i="6"/>
  <c r="C26" i="6" s="1"/>
  <c r="C25" i="6"/>
  <c r="D45" i="3"/>
  <c r="D46" i="3" s="1"/>
  <c r="C32" i="4"/>
  <c r="D42" i="16"/>
  <c r="D43" i="16" s="1"/>
  <c r="E46" i="5" l="1"/>
  <c r="E47" i="5" s="1"/>
  <c r="D27" i="4"/>
  <c r="C41" i="4"/>
  <c r="C29" i="4"/>
  <c r="D32" i="4"/>
  <c r="C34" i="4"/>
  <c r="D37" i="4"/>
  <c r="C39" i="4"/>
  <c r="B41" i="4"/>
  <c r="B46" i="4" s="1"/>
  <c r="E28" i="4"/>
  <c r="E42" i="4" s="1"/>
  <c r="E47" i="4" s="1"/>
  <c r="D42" i="4"/>
  <c r="D47" i="4" s="1"/>
  <c r="B8" i="7" l="1"/>
  <c r="E50" i="5"/>
  <c r="E49" i="5"/>
  <c r="E37" i="4"/>
  <c r="E39" i="4" s="1"/>
  <c r="D39" i="4"/>
  <c r="D34" i="4"/>
  <c r="E32" i="4"/>
  <c r="E34" i="4" s="1"/>
  <c r="C43" i="4"/>
  <c r="C46" i="4"/>
  <c r="C48" i="4" s="1"/>
  <c r="B7" i="7" s="1"/>
  <c r="E27" i="4"/>
  <c r="D29" i="4"/>
  <c r="D41" i="4"/>
  <c r="D43" i="4" l="1"/>
  <c r="D46" i="4"/>
  <c r="D48" i="4" s="1"/>
  <c r="C7" i="7" s="1"/>
  <c r="B9" i="7"/>
  <c r="B10" i="7"/>
  <c r="E41" i="4"/>
  <c r="E29" i="4"/>
  <c r="C8" i="7"/>
  <c r="E51" i="5"/>
  <c r="D8" i="7" l="1"/>
  <c r="E8" i="7" s="1"/>
  <c r="E52" i="5"/>
  <c r="E43" i="4"/>
  <c r="E46" i="4"/>
  <c r="E48" i="4" s="1"/>
  <c r="D7" i="7" s="1"/>
  <c r="C9" i="7"/>
  <c r="C10" i="7"/>
  <c r="D9" i="7" l="1"/>
  <c r="D10" i="7"/>
  <c r="E7" i="7"/>
  <c r="E9" i="7" l="1"/>
  <c r="E10" i="7"/>
</calcChain>
</file>

<file path=xl/sharedStrings.xml><?xml version="1.0" encoding="utf-8"?>
<sst xmlns="http://schemas.openxmlformats.org/spreadsheetml/2006/main" count="564" uniqueCount="433">
  <si>
    <t>Estimated enrollment rate</t>
  </si>
  <si>
    <t>Estimated drop-out rate</t>
  </si>
  <si>
    <t xml:space="preserve">Section D. Projected Scope of Participants </t>
  </si>
  <si>
    <t>Total Number of Participants</t>
  </si>
  <si>
    <t xml:space="preserve"> Estimated Number of Participants per CHW</t>
  </si>
  <si>
    <t xml:space="preserve">Section C. Estimated Number of Participants </t>
  </si>
  <si>
    <t xml:space="preserve">Total hours required per participant </t>
  </si>
  <si>
    <t xml:space="preserve">Phone calls </t>
  </si>
  <si>
    <t>Average duration, in minutes, of a single visit</t>
  </si>
  <si>
    <t>Home visits</t>
  </si>
  <si>
    <t xml:space="preserve">Administrative hours </t>
  </si>
  <si>
    <t>Section A. Work hours available per year, per CHW</t>
  </si>
  <si>
    <t>Estimated Hours Required</t>
  </si>
  <si>
    <t>Assumptions and Data Sources</t>
  </si>
  <si>
    <t>Intervention</t>
  </si>
  <si>
    <t>Without Intervention</t>
  </si>
  <si>
    <t>Hospitalization</t>
  </si>
  <si>
    <t>Urgent Care Clinic Visits</t>
  </si>
  <si>
    <t>Emergency Department Visits</t>
  </si>
  <si>
    <t>Target population</t>
  </si>
  <si>
    <t xml:space="preserve">Year 1 </t>
  </si>
  <si>
    <t>Baseline</t>
  </si>
  <si>
    <t>Total projected savings</t>
  </si>
  <si>
    <t>Total projected savings per participant</t>
  </si>
  <si>
    <t>Total Cost per Participant</t>
  </si>
  <si>
    <t>Savings</t>
  </si>
  <si>
    <t>Annual cost per person</t>
  </si>
  <si>
    <t>Inpatient Hospital</t>
  </si>
  <si>
    <t>Emergency Department</t>
  </si>
  <si>
    <t>Year 3</t>
  </si>
  <si>
    <t>Year 2</t>
  </si>
  <si>
    <t>Year 1</t>
  </si>
  <si>
    <t>Healthcare Cost Services</t>
  </si>
  <si>
    <t>Healthcare Services</t>
  </si>
  <si>
    <t>Total Intervention Cost, Cohort 1-3</t>
  </si>
  <si>
    <t>Projected cost</t>
  </si>
  <si>
    <t>Cost per participant</t>
  </si>
  <si>
    <t>Total Program Cost</t>
  </si>
  <si>
    <t>Total Training &amp; Certification</t>
  </si>
  <si>
    <t>Certification</t>
  </si>
  <si>
    <t xml:space="preserve">Training </t>
  </si>
  <si>
    <t>Training &amp; Certification</t>
  </si>
  <si>
    <t>Total Supplies</t>
  </si>
  <si>
    <t>Monthly charges for a single cell phone</t>
  </si>
  <si>
    <t>Cell phone</t>
  </si>
  <si>
    <t>One-time cost of cloud-based low-cost laptop</t>
  </si>
  <si>
    <t>Computer</t>
  </si>
  <si>
    <t>Office supplies</t>
  </si>
  <si>
    <t>Supplies</t>
  </si>
  <si>
    <t>Total Travel</t>
  </si>
  <si>
    <t>Parking</t>
  </si>
  <si>
    <t>Tolls</t>
  </si>
  <si>
    <t>Number of Trips</t>
  </si>
  <si>
    <t>Cost</t>
  </si>
  <si>
    <t>Mileage</t>
  </si>
  <si>
    <t>Miles/year</t>
  </si>
  <si>
    <t>Miles/month</t>
  </si>
  <si>
    <t>Rate per mile</t>
  </si>
  <si>
    <t>Travel</t>
  </si>
  <si>
    <t>Total Salary + Fringe</t>
  </si>
  <si>
    <t>Fringe</t>
  </si>
  <si>
    <t>Fringe Rate</t>
  </si>
  <si>
    <t>Total Salary</t>
  </si>
  <si>
    <t>Annual Cost</t>
  </si>
  <si>
    <t>FTE</t>
  </si>
  <si>
    <t>Salary</t>
  </si>
  <si>
    <t>Personnel</t>
  </si>
  <si>
    <t xml:space="preserve">Number of CHWs required </t>
  </si>
  <si>
    <t>Target number of participants</t>
  </si>
  <si>
    <t>Estimate</t>
  </si>
  <si>
    <t>Assumptions</t>
  </si>
  <si>
    <t>Budget Item</t>
  </si>
  <si>
    <t>Adult Caregiver Days Disrupted</t>
  </si>
  <si>
    <t>Missed School Days</t>
  </si>
  <si>
    <t xml:space="preserve">Baseline </t>
  </si>
  <si>
    <t>https://www.cms.gov/Research-Statistics-Data-and-Systems/Statistics-Trends-and-Reports/NationalHealthExpendData/NationalHealthAccountsStateHealthAccountsResidence.html</t>
  </si>
  <si>
    <t>Total Net Savings</t>
  </si>
  <si>
    <t>Financial ROI</t>
  </si>
  <si>
    <t xml:space="preserve">Expected costs of CHW intervention </t>
  </si>
  <si>
    <t xml:space="preserve">Savings from direct medical costs </t>
  </si>
  <si>
    <t>Return on Investment</t>
  </si>
  <si>
    <t>(Years 1-3)</t>
  </si>
  <si>
    <t>TOTAL</t>
  </si>
  <si>
    <t xml:space="preserve">Year 3 </t>
  </si>
  <si>
    <t xml:space="preserve">Year 2 </t>
  </si>
  <si>
    <t>NCQA</t>
  </si>
  <si>
    <t>Appropriate Medication Use</t>
  </si>
  <si>
    <t>UDS</t>
  </si>
  <si>
    <t>Drug Therapy for Persistent Asthma</t>
  </si>
  <si>
    <t>CHIP, NCQA</t>
  </si>
  <si>
    <t>Ambulatory Care, ED Visits</t>
  </si>
  <si>
    <t>N/A</t>
  </si>
  <si>
    <t>Quality Measure Set</t>
  </si>
  <si>
    <t>Quality Measure Title</t>
  </si>
  <si>
    <t>NQF #</t>
  </si>
  <si>
    <t xml:space="preserve">Staff </t>
  </si>
  <si>
    <t>Section A. Over 1 year</t>
  </si>
  <si>
    <t>Section B. Over 3 years</t>
  </si>
  <si>
    <t xml:space="preserve">Without CHW intervention </t>
  </si>
  <si>
    <t>Per person</t>
  </si>
  <si>
    <t>With CHW intervention</t>
  </si>
  <si>
    <t xml:space="preserve">Total Recovered School Days </t>
  </si>
  <si>
    <t>Per child</t>
  </si>
  <si>
    <t xml:space="preserve">Total Recovered Caregiver Days </t>
  </si>
  <si>
    <t>Year</t>
  </si>
  <si>
    <t>Hospital Inpatient</t>
  </si>
  <si>
    <t>Urgent Care</t>
  </si>
  <si>
    <t>Healthcare Services Charge Extrapolation up to 2026</t>
  </si>
  <si>
    <t>State</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</si>
  <si>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</si>
  <si>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</si>
  <si>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</si>
  <si>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</si>
  <si>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</si>
  <si>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</si>
  <si>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</si>
  <si>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</si>
  <si>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</si>
  <si>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</si>
  <si>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</si>
  <si>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</si>
  <si>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</si>
  <si>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</si>
  <si>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</si>
  <si>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</si>
  <si>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</si>
  <si>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</si>
  <si>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</si>
  <si>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</si>
  <si>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</si>
  <si>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</si>
  <si>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</si>
  <si>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</si>
  <si>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</si>
  <si>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</si>
  <si>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</si>
  <si>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</si>
  <si>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</si>
  <si>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</si>
  <si>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</si>
  <si>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</si>
  <si>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</si>
  <si>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</si>
  <si>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</si>
  <si>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</si>
  <si>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</si>
  <si>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</si>
  <si>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</si>
  <si>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</si>
  <si>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</si>
  <si>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</si>
  <si>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</si>
  <si>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</si>
  <si>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</si>
  <si>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</si>
  <si>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 Islands**</t>
  </si>
  <si>
    <t>Virginia</t>
  </si>
  <si>
    <t>Washington</t>
  </si>
  <si>
    <t>West Virginia</t>
  </si>
  <si>
    <t>Wisconsin</t>
  </si>
  <si>
    <t>Wyoming</t>
  </si>
  <si>
    <t>D.C.</t>
  </si>
  <si>
    <t>Paid vacation days per year</t>
  </si>
  <si>
    <t>Paid holidays per year</t>
  </si>
  <si>
    <t>Paid sick days per year</t>
  </si>
  <si>
    <t>Number of home visits per participant per year</t>
  </si>
  <si>
    <t>Time, in minutes, for data entry and follow-up</t>
  </si>
  <si>
    <t>Average number of calls per participant per year</t>
  </si>
  <si>
    <t xml:space="preserve">Average annual spending on supplies </t>
  </si>
  <si>
    <t>Facility Cost per FTE</t>
  </si>
  <si>
    <t>Indirect Rate</t>
  </si>
  <si>
    <t>Cost of one full kit (mattress covers, pest control, etc.)</t>
  </si>
  <si>
    <t>Urgent Care Visit for Asthma</t>
  </si>
  <si>
    <t xml:space="preserve">Hospitalization for Asthma </t>
  </si>
  <si>
    <t>Emergency Department Visits - Asthma</t>
  </si>
  <si>
    <t>Baseline Utilization for Target Population</t>
  </si>
  <si>
    <t>Implementation State</t>
  </si>
  <si>
    <t>Implementation Year</t>
  </si>
  <si>
    <t>Cost to Charge Ratio</t>
  </si>
  <si>
    <t xml:space="preserve">Adult caregiver days rescheduled because of child's asthma </t>
  </si>
  <si>
    <t>School days missed because of asthma</t>
  </si>
  <si>
    <t>Section A. Social return (number of days recovered per person/year)</t>
  </si>
  <si>
    <t>Paid time off</t>
  </si>
  <si>
    <t>Total paid hours</t>
  </si>
  <si>
    <t>40 hours per week, 52 weeks per year</t>
  </si>
  <si>
    <t>Engagement time</t>
  </si>
  <si>
    <t>Total hours available for client work</t>
  </si>
  <si>
    <t>Number of individuals to be contacted</t>
  </si>
  <si>
    <t>Number of individuals expected to participate in intervention</t>
  </si>
  <si>
    <t>Number of individuals expected to complete intervention</t>
  </si>
  <si>
    <t>Time, in minutes, per phone call</t>
  </si>
  <si>
    <t>Number of CHWs (FTEs)</t>
  </si>
  <si>
    <t>Hours per week for meeting, including staff meeting, supervision time, case review, etc.</t>
  </si>
  <si>
    <t>Hours per year for training</t>
  </si>
  <si>
    <t>Section B. Service Time per Participant</t>
  </si>
  <si>
    <t>If you have baseline utilization data for your target population, you may enter it here.</t>
  </si>
  <si>
    <t>Target Population</t>
  </si>
  <si>
    <t>My own data</t>
  </si>
  <si>
    <t>Published data</t>
  </si>
  <si>
    <t>Source of baseline data</t>
  </si>
  <si>
    <t>Data source:  Do you want to enter your own baseline data or use published data?</t>
  </si>
  <si>
    <t>With Intervention</t>
  </si>
  <si>
    <t>State Cost and Charge Data</t>
  </si>
  <si>
    <t>Sources:</t>
  </si>
  <si>
    <t>State Expenditures Relative to US Average</t>
  </si>
  <si>
    <t>https://www.kff.org/health-costs/state-indicator/expenses-per-inpatient-day/?currentTimeframe=0&amp;sortModel=%7B%22colId%22:%22Location%22,%22sort%22:%22asc%22%7D</t>
  </si>
  <si>
    <t>United States</t>
  </si>
  <si>
    <t>*</t>
  </si>
  <si>
    <t>Average Charge per Visit</t>
  </si>
  <si>
    <t>Average Cost per Visit</t>
  </si>
  <si>
    <t>Cost for initial training for a single worker</t>
  </si>
  <si>
    <t>Baseline Days Missed by Target Population Per Year</t>
  </si>
  <si>
    <t>Baseline Days per Person in Previous 2 Weeks</t>
  </si>
  <si>
    <t>If you have your own baseline data for your target population, please enter below.</t>
  </si>
  <si>
    <t>Local region</t>
  </si>
  <si>
    <t>Percent of participants who require a full kit</t>
  </si>
  <si>
    <t>Utilization Rate</t>
  </si>
  <si>
    <t>Symptom-free days (Days in past 2 weeks), per person</t>
  </si>
  <si>
    <t>Number of Patients - Without Intervention</t>
  </si>
  <si>
    <t>Number of Patients - With Intervention</t>
  </si>
  <si>
    <t>A. Health care utilization (number of events per person/year)</t>
  </si>
  <si>
    <t>B. Quality Measures</t>
  </si>
  <si>
    <t>Projected Number of Visits: Without Intervention</t>
  </si>
  <si>
    <t>Projected Number of Visits: With Intervention</t>
  </si>
  <si>
    <t>Projected Days Using Rescue Medication: Without Intervention</t>
  </si>
  <si>
    <t>Projected Days Using Rescue Medication: With Intervention</t>
  </si>
  <si>
    <t>Projected Number of Symptom-Free Days: Without Intervention</t>
  </si>
  <si>
    <t>Number of patients whose asthma is well-controlled</t>
  </si>
  <si>
    <t>Difference with intervention vs. without intervention</t>
  </si>
  <si>
    <t>Relative change with intervention vs. without intervention</t>
  </si>
  <si>
    <t>Projected Number of Symptom-Free Days: With Intervention</t>
  </si>
  <si>
    <t xml:space="preserve">Abbreviations: CHIP = Children’s Health Insurance Program; this represents the core set of </t>
  </si>
  <si>
    <t xml:space="preserve">children’s health care quality measures for Medicaid and CHIP (child core set); ED = emergency </t>
  </si>
  <si>
    <t>department; NCQA  = National Committee for Quality Assurance; NQF = National Quality Forum;</t>
  </si>
  <si>
    <t>and UDS = Uniform Data System.</t>
  </si>
  <si>
    <t>Medication Management for People with Asthma</t>
  </si>
  <si>
    <t>Asthma in Younger Adults Admission Rate</t>
  </si>
  <si>
    <t>Annual Percent Asthma Patients (Ages 2-20) With One or More Asthma Related ED  Visits</t>
  </si>
  <si>
    <t>Asthma Admission Rate (for Children)</t>
  </si>
  <si>
    <t>(Enter State Here)</t>
  </si>
  <si>
    <t>(Enter Year Here)</t>
  </si>
  <si>
    <t>Cost for initial CHW certification</t>
  </si>
  <si>
    <t>Other Direct Cost</t>
  </si>
  <si>
    <t>Hospital Expenses per Inpatient Day (2015)</t>
  </si>
  <si>
    <t>https://www.dol.gov/owcp/regs/feeschedule/fee/feeSept3017/Effective_September_30_2017_CCR.htm</t>
  </si>
  <si>
    <t>Hospital Expenses per Inpatient Day, 2015: Kaiser Family Foundation</t>
  </si>
  <si>
    <r>
      <t>CHW</t>
    </r>
    <r>
      <rPr>
        <i/>
        <vertAlign val="superscript"/>
        <sz val="11"/>
        <color theme="1"/>
        <rFont val="Calibri"/>
        <family val="2"/>
        <scheme val="minor"/>
      </rPr>
      <t>a</t>
    </r>
  </si>
  <si>
    <t xml:space="preserve">a. CHW annual national median salary information included from the Occupational Employment Statistics report of the United States Department of Labor's Bureau of Labor Statistics. </t>
  </si>
  <si>
    <t>https://www.bls.gov/oes/current/oes211094.htm</t>
  </si>
  <si>
    <t>Value for the Past 2 Weeks</t>
  </si>
  <si>
    <t>b. CHW Supervisor salary based on survey data compiled by authors.  We assume that 10% of a supervisor's time is spent on supervising each CHW.</t>
  </si>
  <si>
    <r>
      <t>Symptom-free days (Days in past 2 weeks), per person</t>
    </r>
    <r>
      <rPr>
        <u/>
        <sz val="11"/>
        <color rgb="FF000000"/>
        <rFont val="Calibri"/>
        <family val="2"/>
        <scheme val="minor"/>
      </rPr>
      <t>: higher is better.</t>
    </r>
  </si>
  <si>
    <r>
      <t>Number of patients whose asthma is well-controlled</t>
    </r>
    <r>
      <rPr>
        <u/>
        <sz val="11"/>
        <color rgb="FF000000"/>
        <rFont val="Calibri"/>
        <family val="2"/>
        <scheme val="minor"/>
      </rPr>
      <t>: higher is better.</t>
    </r>
  </si>
  <si>
    <t>Relative Resource Use</t>
  </si>
  <si>
    <t>Additional Information</t>
  </si>
  <si>
    <t>Percent of participants who require a partial kit and assuming that a partial kit will cost 40% of the full one</t>
  </si>
  <si>
    <r>
      <t>Facility Cost</t>
    </r>
    <r>
      <rPr>
        <vertAlign val="superscript"/>
        <sz val="11"/>
        <color theme="1"/>
        <rFont val="Calibri"/>
        <family val="2"/>
        <scheme val="minor"/>
      </rPr>
      <t>d</t>
    </r>
  </si>
  <si>
    <r>
      <t>Asthma mitigation supplies</t>
    </r>
    <r>
      <rPr>
        <vertAlign val="superscript"/>
        <sz val="11"/>
        <color theme="1"/>
        <rFont val="Calibri"/>
        <family val="2"/>
        <scheme val="minor"/>
      </rPr>
      <t>c</t>
    </r>
  </si>
  <si>
    <r>
      <t>Indirect Cost</t>
    </r>
    <r>
      <rPr>
        <b/>
        <vertAlign val="superscript"/>
        <sz val="11"/>
        <color theme="1"/>
        <rFont val="Calibri"/>
        <family val="2"/>
        <scheme val="minor"/>
      </rPr>
      <t>e</t>
    </r>
  </si>
  <si>
    <r>
      <t>Year 2 Inflation adjustment rate</t>
    </r>
    <r>
      <rPr>
        <vertAlign val="superscript"/>
        <sz val="11"/>
        <color theme="1"/>
        <rFont val="Calibri"/>
        <family val="2"/>
        <scheme val="minor"/>
      </rPr>
      <t>f</t>
    </r>
  </si>
  <si>
    <r>
      <t>Year 3 Inflation adjustment rate</t>
    </r>
    <r>
      <rPr>
        <vertAlign val="superscript"/>
        <sz val="11"/>
        <color theme="1"/>
        <rFont val="Calibri"/>
        <family val="2"/>
        <scheme val="minor"/>
      </rPr>
      <t>f</t>
    </r>
  </si>
  <si>
    <r>
      <t>Utilization Rate</t>
    </r>
    <r>
      <rPr>
        <b/>
        <vertAlign val="superscript"/>
        <sz val="11"/>
        <color rgb="FF000000"/>
        <rFont val="Calibri"/>
        <family val="2"/>
        <scheme val="minor"/>
      </rPr>
      <t>a</t>
    </r>
  </si>
  <si>
    <t>a. In healthcare, the utilization rate is the quantification of the usage rate of services by persons for the purpose of preventing and curing health problems, promoting maintenance of health and well-being, or obtaining information about one’s health status and prognosis. (Adapted from https://link.springer.com/referenceworkentry/10.1007%2F978-1-4419-1005-9_885)</t>
  </si>
  <si>
    <t xml:space="preserve">Cost of ongoing training for a single worker </t>
  </si>
  <si>
    <t>(Enter Project Title Here)</t>
  </si>
  <si>
    <t>(Enter Organization Name Here)</t>
  </si>
  <si>
    <t>Note:  These estimates are projections only.  Actual results may differ.</t>
  </si>
  <si>
    <r>
      <t>Total Direct Costs</t>
    </r>
    <r>
      <rPr>
        <sz val="11"/>
        <color theme="1"/>
        <rFont val="Calibri"/>
        <family val="2"/>
        <scheme val="minor"/>
      </rPr>
      <t xml:space="preserve">:  </t>
    </r>
    <r>
      <rPr>
        <i/>
        <sz val="11"/>
        <color theme="1"/>
        <rFont val="Calibri"/>
        <family val="2"/>
        <scheme val="minor"/>
      </rPr>
      <t>Add other direct costs, as applicable.</t>
    </r>
  </si>
  <si>
    <t>Total Medical Cost for the Target Population</t>
  </si>
  <si>
    <t>For example, you could conduct a study of your patient population (called the "Target Population"). For each child, you would need to ask a parent or caregiver for the number of school days the child missed because asthma in the previous 2 weeks, and the number adult caregiver days rescheduled because of a child's asthma.</t>
  </si>
  <si>
    <t>This table estimates the financial return on investment (ROI) produced through implementation of this intervention over a three year period.</t>
  </si>
  <si>
    <t>Woods ER, Bhaumik U, Sommer SJ, et al. Community asthma initiative: evaluation of a quality improvement program for comprehensive asthma care. Pediatrics. 2012 Mar;129(3):465-72</t>
  </si>
  <si>
    <t>Findley S, Matos S, Hicks A, et al. Community health worker integration into the health care team accomplishes the triple aim in a patient-centered medical home: a Bronx tale. J Ambul Care Manage. 2014 Jan-Mar;37(1):82-91</t>
  </si>
  <si>
    <t>Peretz PJ, Matiz LA, Findley S, et al. Community health workers as drivers of a successful community-based disease management initiative. Am J Public Health. 2012 Aug; 102(8):1443-6</t>
  </si>
  <si>
    <t>Bhaumik U, Norris K, Charron G, et al. A cost analysis for a community-based case management intervention program for pediatric asthma. J Asthma. 2013 Apr;50(3):310-7</t>
  </si>
  <si>
    <t>Caseload Components</t>
  </si>
  <si>
    <t>Travel time, in minutes, for a round trip to visit a participant</t>
  </si>
  <si>
    <t>c. Asthma mitigation supplies include a low emission vacuum cleaner, cleaning supplies, roach abatement supplies (if roaches are present), and allergen-impermeable bedding covers.</t>
  </si>
  <si>
    <t>Table of Contents</t>
  </si>
  <si>
    <t>Introduction</t>
  </si>
  <si>
    <t>Summary of CHW Pediatric Asthma Intervention</t>
  </si>
  <si>
    <t>Using This Interactive Calculator Tool</t>
  </si>
  <si>
    <t>Table 1:  Caseload</t>
  </si>
  <si>
    <t>Table 2:  Budget</t>
  </si>
  <si>
    <t>Table 4:  Medical Cost Projections</t>
  </si>
  <si>
    <t>Table 5:  Social Return Projections</t>
  </si>
  <si>
    <t>Table 6:  Financial Return on Investment (ROI)</t>
  </si>
  <si>
    <t>Table 7:  Other Quality Measures</t>
  </si>
  <si>
    <t>Technical Notes</t>
  </si>
  <si>
    <t>Acknowledgements</t>
  </si>
  <si>
    <t>Implementing a new health care intervention requires research and planning. For example, payor and provider organizations may require assurances that a new intervention will achieve utilization goals, improve health outcomes, and contain costs.</t>
  </si>
  <si>
    <t xml:space="preserve">Note that a user’s actual results may differ from projections produced by this calculator tool because:  </t>
  </si>
  <si>
    <t>The goals of this King County intervention include:</t>
  </si>
  <si>
    <t>Key</t>
  </si>
  <si>
    <t>Tables</t>
  </si>
  <si>
    <t>The calculator tool produces the following tables:</t>
  </si>
  <si>
    <t>The default values provided are based on data the developers collected from CHWs and CHW employers. Users can adjust each factor to align with their own organizational and program requirements.</t>
  </si>
  <si>
    <t>Table 3 A: Health Outcomes Projections</t>
  </si>
  <si>
    <t>Table 3 B: Health Outcomes Projections</t>
  </si>
  <si>
    <t>Caseload</t>
  </si>
  <si>
    <t>Outcomes</t>
  </si>
  <si>
    <t>The tool developers also assumed that average costs per event would remain constant over 12 months; any reduction in average per person costs would reflect only a decrease in the number of events, rather than other factors affecting per person costs.</t>
  </si>
  <si>
    <t>Medical Cost Projections</t>
  </si>
  <si>
    <t>Social Return</t>
  </si>
  <si>
    <t>Appendix</t>
  </si>
  <si>
    <t>This tool was developed for Families USA by:</t>
  </si>
  <si>
    <t>Katharine London, MS, Principal</t>
  </si>
  <si>
    <t>Enid Vélez, MPH, Senior Policy Analyst</t>
  </si>
  <si>
    <t>Jeremy Tourish, MPH, Policy Analyst</t>
  </si>
  <si>
    <t>Center for Health Law and Economics</t>
  </si>
  <si>
    <t>University of Massachusetts Medical School</t>
  </si>
  <si>
    <t>For further information on the calculator tool, please contact a member of the CHLE staff at CHLE@umassmed.edu.  If you are interested in other work CHLE does, please visit the center’s website at http://chle.umassmed.edu. </t>
  </si>
  <si>
    <t>Citations</t>
  </si>
  <si>
    <t>*The authors inserted the value "1.00" for Puerto Rico and the Virgin Islands, to use the United States average, as relative expenditure data was not available for these territories.</t>
  </si>
  <si>
    <t xml:space="preserve">https://www.cms.gov/research-statistics-data-and-systems/statistics-trends-and-reports/nationalhealthexpenddata/nationalhealthaccountsprojected.html </t>
  </si>
  <si>
    <r>
      <rPr>
        <b/>
        <i/>
        <sz val="10"/>
        <color theme="1"/>
        <rFont val="Calibri"/>
        <family val="2"/>
        <scheme val="minor"/>
      </rPr>
      <t>Healthcare services charges are extrapolated</t>
    </r>
    <r>
      <rPr>
        <sz val="10"/>
        <color theme="1"/>
        <rFont val="Calibri"/>
        <family val="2"/>
        <scheme val="minor"/>
      </rPr>
      <t xml:space="preserve"> using projection in inflation from the CMS National Health Expenditures and Selected Economic Indicators, Levels and Annual Percent Change: Calendar Years 2010-2026.</t>
    </r>
  </si>
  <si>
    <t>Community Health Worker Impact Estimator</t>
  </si>
  <si>
    <t>CHW Model: Pediatric Asthma Intervention</t>
  </si>
  <si>
    <t xml:space="preserve">This tool was created with funding from The Kresge Foundation, </t>
  </si>
  <si>
    <r>
      <t>1)</t>
    </r>
    <r>
      <rPr>
        <sz val="7"/>
        <color theme="1"/>
        <rFont val="Times New Roman"/>
        <family val="1"/>
      </rPr>
      <t>     </t>
    </r>
  </si>
  <si>
    <r>
      <t>2)</t>
    </r>
    <r>
      <rPr>
        <sz val="7"/>
        <color theme="1"/>
        <rFont val="Times New Roman"/>
        <family val="1"/>
      </rPr>
      <t xml:space="preserve">      </t>
    </r>
  </si>
  <si>
    <r>
      <t>3)</t>
    </r>
    <r>
      <rPr>
        <sz val="7"/>
        <color theme="1"/>
        <rFont val="Times New Roman"/>
        <family val="1"/>
      </rPr>
      <t xml:space="preserve">      </t>
    </r>
  </si>
  <si>
    <t>•</t>
  </si>
  <si>
    <t>Supplying resources to improve asthma control</t>
  </si>
  <si>
    <t>Reducing exposure to indoor asthma triggers by providing in-home environmental assessments, and</t>
  </si>
  <si>
    <r>
      <t>“Uncontrolled” asthma is a control level classification of the Centers for Disease Control and Prevention (CDC)’s National Asthma Control Program.</t>
    </r>
    <r>
      <rPr>
        <vertAlign val="superscript"/>
        <sz val="11"/>
        <color theme="1"/>
        <rFont val="Calibri"/>
        <family val="2"/>
        <scheme val="minor"/>
      </rPr>
      <t>6</t>
    </r>
    <r>
      <rPr>
        <sz val="11"/>
        <color theme="1"/>
        <rFont val="Calibri"/>
        <family val="2"/>
        <scheme val="minor"/>
      </rPr>
      <t xml:space="preserve">  The CDC’s “uncontrolled” designation encompasses two asthma control level classifications of the National Asthma Education and Prevention Program Expert Panel (NAEPP) -- “not well controlled” or “very poorly controlled.”</t>
    </r>
    <r>
      <rPr>
        <vertAlign val="superscript"/>
        <sz val="11"/>
        <color theme="1"/>
        <rFont val="Calibri"/>
        <family val="2"/>
        <scheme val="minor"/>
      </rPr>
      <t xml:space="preserve">7 </t>
    </r>
    <r>
      <rPr>
        <sz val="11"/>
        <color theme="1"/>
        <rFont val="Calibri"/>
        <family val="2"/>
        <scheme val="minor"/>
      </rPr>
      <t>Indicators NAEPP uses to define “not well controlled” or “very poorly controlled” include:</t>
    </r>
  </si>
  <si>
    <t>1)</t>
  </si>
  <si>
    <t xml:space="preserve">experiencing symptoms more than two days/week; </t>
  </si>
  <si>
    <t>2)</t>
  </si>
  <si>
    <t>experiencing nighttime awakenings more than once/month for ages 0-4; two or more times/month for ages 5-11; and one to three times/week for ages 12 and older;</t>
  </si>
  <si>
    <t>3)</t>
  </si>
  <si>
    <t>limiting normal activities;</t>
  </si>
  <si>
    <t>4)</t>
  </si>
  <si>
    <t xml:space="preserve">using short-acting beta agonist inhalers for symptom control at least two days/week; </t>
  </si>
  <si>
    <t>5)</t>
  </si>
  <si>
    <t>having poor lung function; and</t>
  </si>
  <si>
    <t xml:space="preserve">6) </t>
  </si>
  <si>
    <r>
      <t>exacerbations requiring oral systemic corticosteroids at least two times/year.</t>
    </r>
    <r>
      <rPr>
        <vertAlign val="superscript"/>
        <sz val="11"/>
        <color theme="1"/>
        <rFont val="Calibri"/>
        <family val="2"/>
        <scheme val="minor"/>
      </rPr>
      <t>7</t>
    </r>
  </si>
  <si>
    <t>Exclusions</t>
  </si>
  <si>
    <t xml:space="preserve">To ensure this model produced a positive financial return on investment, King County excluded families whose social needs would likely require more intensive case management. As a result, the program excluded families: </t>
  </si>
  <si>
    <t>Programs seeking to implement this asthma intervention model should consider partnering with a social service organization that can connect families facing more complex needs with non-asthma related social services, as obtaining these support services could enable the families to  participate in the asthma intervention.</t>
  </si>
  <si>
    <r>
      <t>·</t>
    </r>
    <r>
      <rPr>
        <sz val="7"/>
        <color theme="1"/>
        <rFont val="Times New Roman"/>
        <family val="1"/>
      </rPr>
      <t xml:space="preserve">         </t>
    </r>
  </si>
  <si>
    <t>Grey:  Data and calculations built into the calculator tool in gray.  Users cannot change this data.</t>
  </si>
  <si>
    <t>Pink:  Users can enter their own data into the pink spaces or they can use the default data provided.</t>
  </si>
  <si>
    <t>Pink drop down menu:  Tables 3, 4 and 5 give users an option for the source of baseline data.  Users must select use “My own data” or use “Published data.”</t>
  </si>
  <si>
    <t>1.</t>
  </si>
  <si>
    <t>2.</t>
  </si>
  <si>
    <t>3.</t>
  </si>
  <si>
    <t>4.</t>
  </si>
  <si>
    <t>5.</t>
  </si>
  <si>
    <t>6.</t>
  </si>
  <si>
    <t>7.</t>
  </si>
  <si>
    <t>State Cost to Charge Ratio: US Department of Labor, Office of Workers' Compensation, Cost to Charge Ratios for non-PPS Hospital Services Programs</t>
  </si>
  <si>
    <t>In addition, if the user implements an intervention that is substantially different from the model the tool is based upon, the King County Asthma Program in Washington State, the calculator will not accurately predict outcomes.</t>
  </si>
  <si>
    <r>
      <t>Green drop down menu:  Table 4</t>
    </r>
    <r>
      <rPr>
        <b/>
        <sz val="11"/>
        <color theme="1"/>
        <rFont val="Calibri"/>
        <family val="2"/>
        <scheme val="minor"/>
      </rPr>
      <t xml:space="preserve"> requires</t>
    </r>
    <r>
      <rPr>
        <sz val="11"/>
        <color theme="1"/>
        <rFont val="Calibri"/>
        <family val="2"/>
        <scheme val="minor"/>
      </rPr>
      <t xml:space="preserve"> users to select the state where they plan to implement the intervention from a drop-down menu, and to select the year when they plan to implement the intervention from a separate drop-down menu.</t>
    </r>
  </si>
  <si>
    <r>
      <t>CHW Supervisor</t>
    </r>
    <r>
      <rPr>
        <vertAlign val="superscript"/>
        <sz val="11"/>
        <color theme="1"/>
        <rFont val="Calibri"/>
        <family val="2"/>
        <scheme val="minor"/>
      </rPr>
      <t>b</t>
    </r>
  </si>
  <si>
    <t>Defining "Uncontrolled Asthma"</t>
  </si>
  <si>
    <t>Inflation projections are drawn from the National Health Expenditures health expenditures by state of residence report.</t>
  </si>
  <si>
    <r>
      <rPr>
        <b/>
        <sz val="12"/>
        <color rgb="FF243F60"/>
        <rFont val="Cambria"/>
        <family val="1"/>
      </rPr>
      <t>Social Return Projections</t>
    </r>
    <r>
      <rPr>
        <sz val="11"/>
        <color theme="1"/>
        <rFont val="Calibri"/>
        <family val="2"/>
        <scheme val="minor"/>
      </rPr>
      <t xml:space="preserve">: This table estimates the social return of the CHW asthma intervention, measured as reduction in the number of school days children missed because of asthma, as well as the number of days an adult caregiver changed their plans because of the child’s asthma. Users may enter their own baseline data, if available, or may rely on baseline data from published studies.  </t>
    </r>
  </si>
  <si>
    <t>Technical Specifications and Resource Manual for Federal Fiscal Year 2018 Reporting</t>
  </si>
  <si>
    <t>AHRQ QI Research Version 5.0, Pediatric Quality Indicators #14, Technical Specifications, Asthma Admission Rate</t>
  </si>
  <si>
    <t>Measure #53 (NQF 0047): Asthma: Pharmacologic Therapy for Persistent Asthma – Ambulatory Care Setting – National Quality Strategy Domain: Effective Clinical Care</t>
  </si>
  <si>
    <t>Endorsing Cost and Resource Use Measures: Phase 3, National Quality Forum, Final Technical Report</t>
  </si>
  <si>
    <t>2017 Quality Rating System Measure Technical Specifications</t>
  </si>
  <si>
    <t>Tables in this appendix include data used throughout the rest of the tool.</t>
  </si>
  <si>
    <t>Source:</t>
  </si>
  <si>
    <r>
      <t xml:space="preserve">The developers originally created an earlier version of this model in a report, </t>
    </r>
    <r>
      <rPr>
        <i/>
        <sz val="11"/>
        <color theme="1"/>
        <rFont val="Calibri"/>
        <family val="2"/>
        <scheme val="minor"/>
      </rPr>
      <t xml:space="preserve">Sustainable Financing Models for Community Health Worker Services in Connecticut: Translating Science into Practice, </t>
    </r>
    <r>
      <rPr>
        <sz val="11"/>
        <color theme="1"/>
        <rFont val="Calibri"/>
        <family val="2"/>
        <scheme val="minor"/>
      </rPr>
      <t>created for the Connecticut Health Foundation. (London, 2017)</t>
    </r>
  </si>
  <si>
    <t>Campbell JD, Brooks M, Hosokawa P, et al. Community Health Worker Home Visits for Medicaid-Enrolled   Children With Asthma: Effects on Asthma Outcomes and Costs. Am J Public Health. 2015 Nov;105(11):2366-72.</t>
  </si>
  <si>
    <t>Krieger J (2013). Community Health Workers: Bringing Asthma Control Home. A presentation at the American   Public Health Association 2013 Annual Meeting. Available at: http://successwithchws.org/asthma/wpcontent/uploads/sites/3/2014/11/Krieger-Community-Health-Workers_final.pdf  [Accessed August 7, 2018].</t>
  </si>
  <si>
    <t xml:space="preserve">King County (2016) Medicaid Asthma Home Visit Project. </t>
  </si>
  <si>
    <t>Morgan WJ, Crain EF, Gruchalla RS, et al.; Inner-City Asthma Study Group. Results of a home-based environmental intervention among urban children with asthma. N Engl J  Med. 2004 Sep 9;351(11):1068-80.</t>
  </si>
  <si>
    <t>National Asthma Education and Prevention Program (2007). Expert panel report 3 (EPR3): guidelines for the diagnosis and management of asthma. NIH Publication no. 07-4051. 2007</t>
  </si>
  <si>
    <t>London, K, Love, K, and Tikkanen, R. (2017). Community Health Workers: A Positive Return on Investment for Connecticut. Connecticut Health Foundation. Available at http://www.cthealth.org/wp-content/uploads/2017/04/CHW-Brief-April-2017.pdf [Accessed September 4, 2018]</t>
  </si>
  <si>
    <t>Krieger JK, Takaro TK, Allen C, et al. The Seattle-King County healthy homes project: implementation of a comprehensive approach to improving indoor environmental quality for low-income children with asthma.  Environ Health Perspect. 2002 Apr;110 Suppl 2:311-22.</t>
  </si>
  <si>
    <t>This calculator tool relies heavily on data from one of King County’s most recent CHW programs, called “Medicaid Healthy Homes,” first implemented in 2009. (Campbell, 2015)  This program focused exclusively on low-income children ages 3 to 17 who were enrolled in Medicaid and who had “not well controlled” or “very poorly controlled”asthma. (Campbell, 2015 &amp; Krieger, 2013)  Children within this population, who met clinical criteria, were recruited into the intervention using Medicaid health plan lists and direct provider referrals. (Campbell, 2015)</t>
  </si>
  <si>
    <t>CHWs in the King County intervention shared ethnic backgrounds with participants, experienced asthma personally or through a family member, and lived in the target communities.  Recruitment occurred predominantly through word of mouth or networking with community-based organizations.  CHWs received 40 hours of initial training (including classroom instruction and exercises, role playing, and a field practicum) from a program developed by the American Lung Association of Washington. (Krieger, 2002)  The King County Department of Public Health has made CHW training materials, environmental protocols, patient educational materials, provider referral forms and other tools used in the Medicaid Asthma Home Visit program (Medicaid Healthy Homes) available on its website. (King County, 2016)</t>
  </si>
  <si>
    <t>Nepaul AN., Peng J, Kloter A, et al. (2012). The Burden of Asthma in Connecticut. Hartford, CT: Connecticut Department of Public Health. Available at: https://portal.ct.gov/-/media/Departments-and-Agencies/DPH/dph/hems/asthma/pdf/Fullreportwithcoverpdf.pdf?la=en [Accessed August 10, 2018]</t>
  </si>
  <si>
    <t>Centers for Medicare and Medicaid Services (2013) Medicare Payment and Charge Information on 25 Common Physician Office Procedures. Posted 9/20/2013. Available at: https://www.cms.gov/Research-Statistics-Data-and-Systems/Research/HealthCareConInit/Physician.html [Accessed August 10, 2018]</t>
  </si>
  <si>
    <r>
      <t>Patients engaged at the end of year 1</t>
    </r>
    <r>
      <rPr>
        <sz val="11"/>
        <color theme="1"/>
        <rFont val="Calibri"/>
        <family val="2"/>
        <scheme val="minor"/>
      </rPr>
      <t>: The estimated average dropout rate at 12 months was based on data from existing programs implemented in New York City and Boston.  These studies were conducted in a more realistic setting than in the King County model, which was a randomized controlled trial (RCT) conducted under experimental conditions. The dropout rate estimated from the New York and Boston studies (46 percent; median of 52 percent in NY and 40 percent in Boston) was higher than those reported in other RCTs, including the King County model (15 percent to 18 percent), and represents a more conservative estimate. (Campbell, 2015 &amp; Krieger, 2002)</t>
    </r>
    <r>
      <rPr>
        <vertAlign val="superscript"/>
        <sz val="11"/>
        <color theme="1"/>
        <rFont val="Calibri"/>
        <family val="2"/>
        <scheme val="minor"/>
      </rPr>
      <t xml:space="preserve"> </t>
    </r>
  </si>
  <si>
    <r>
      <t>Rescue medication use and symptom-free days (per 2 weeks/person)</t>
    </r>
    <r>
      <rPr>
        <sz val="11"/>
        <color theme="1"/>
        <rFont val="Calibri"/>
        <family val="2"/>
        <scheme val="minor"/>
      </rPr>
      <t>: Baseline rates from the King County model were used by averaging baseline values for control and intervention groups. The resulting baseline rates were rescue medication: 5.3 use days per two weeks and symptom-free days: 6.6 days per two weeks. (Campbell, 2015)</t>
    </r>
  </si>
  <si>
    <r>
      <t>Well-controlled asthma (percent of children)</t>
    </r>
    <r>
      <rPr>
        <sz val="11"/>
        <color theme="1"/>
        <rFont val="Calibri"/>
        <family val="2"/>
        <scheme val="minor"/>
      </rPr>
      <t>: At baseline, it is assumed no children enrolled in the proposed CHW intervention will meet National Asthma Education and Prevention Program's criteria for well-controlled asthma (three percent of enrolled children in the King County model study were at this control level at baseline).  The authors also assumed that 45 percent of children enrolled in the CHW intervention and 16 percent of children not receiving the CHW intervention would be well-controlled at 12 months; these percentages reflected the changes observed in the King County study. (Campbell, 2015)</t>
    </r>
  </si>
  <si>
    <r>
      <t>ED, hospitalization, and urgent care clinic visit rates at baseline</t>
    </r>
    <r>
      <rPr>
        <sz val="11"/>
        <color theme="1"/>
        <rFont val="Calibri"/>
        <family val="2"/>
        <scheme val="minor"/>
      </rPr>
      <t>: Average utilization rates per year and per person were based on the King County model study: Emergency department (ED) visits (1.77), hospitalizations (0.61), and urgent care clinic visits (2.73). (Campbell, 2015)</t>
    </r>
  </si>
  <si>
    <r>
      <t>ED, hospitalization, and urgent care clinic visit rates following intervention (at 12 months)</t>
    </r>
    <r>
      <rPr>
        <sz val="11"/>
        <color theme="1"/>
        <rFont val="Calibri"/>
        <family val="2"/>
        <scheme val="minor"/>
      </rPr>
      <t xml:space="preserve">: The developers calculated 12-month event rates per person for the control (without intervention) group and CHW (with intervention) group, using baseline event rates and costs per event (ED visit, hospitalization, or urgent care clinic visit).  Event rates were reported in the King County study. (Campbell, 2015)   </t>
    </r>
  </si>
  <si>
    <r>
      <t>Event rates for ED visits, hospitalizations, and urgent care clinic visits</t>
    </r>
    <r>
      <rPr>
        <sz val="11"/>
        <color theme="1"/>
        <rFont val="Calibri"/>
        <family val="2"/>
        <scheme val="minor"/>
      </rPr>
      <t>: Baseline and 12-month per-person, per-year rates were based on the King County model.  See ‘Outcomes’ section for method used for calculating 12-month rates with and without the intervention. (Campbell, 2015)</t>
    </r>
    <r>
      <rPr>
        <i/>
        <sz val="11"/>
        <color theme="1"/>
        <rFont val="Calibri"/>
        <family val="2"/>
        <scheme val="minor"/>
      </rPr>
      <t xml:space="preserve">
Average unit costs per event: </t>
    </r>
    <r>
      <rPr>
        <sz val="11"/>
        <color theme="1"/>
        <rFont val="Calibri"/>
        <family val="2"/>
        <scheme val="minor"/>
      </rPr>
      <t>Estimated charges per ED visit and hospitalization are drawn from published literature and calculated by dividing the number of events by total charges. (Nepaul, 2012)</t>
    </r>
    <r>
      <rPr>
        <i/>
        <sz val="11"/>
        <color theme="1"/>
        <rFont val="Calibri"/>
        <family val="2"/>
        <scheme val="minor"/>
      </rPr>
      <t xml:space="preserve">  </t>
    </r>
    <r>
      <rPr>
        <sz val="11"/>
        <color theme="1"/>
        <rFont val="Calibri"/>
        <family val="2"/>
        <scheme val="minor"/>
      </rPr>
      <t>For urgent care clinic visits, the average Medicare payment for a physician office visit in 2012 was used</t>
    </r>
    <r>
      <rPr>
        <i/>
        <sz val="11"/>
        <color theme="1"/>
        <rFont val="Calibri"/>
        <family val="2"/>
        <scheme val="minor"/>
      </rPr>
      <t xml:space="preserve">. </t>
    </r>
    <r>
      <rPr>
        <sz val="11"/>
        <color theme="1"/>
        <rFont val="Calibri"/>
        <family val="2"/>
        <scheme val="minor"/>
      </rPr>
      <t>(CMS, 2013)</t>
    </r>
    <r>
      <rPr>
        <i/>
        <sz val="11"/>
        <color theme="1"/>
        <rFont val="Calibri"/>
        <family val="2"/>
        <scheme val="minor"/>
      </rPr>
      <t xml:space="preserve">  </t>
    </r>
    <r>
      <rPr>
        <sz val="11"/>
        <color theme="1"/>
        <rFont val="Calibri"/>
        <family val="2"/>
        <scheme val="minor"/>
      </rPr>
      <t>All unit costs are then converted to the users specified intervention year dollars using medical cost inflation rates.</t>
    </r>
  </si>
  <si>
    <r>
      <rPr>
        <i/>
        <sz val="11"/>
        <color theme="1"/>
        <rFont val="Calibri"/>
        <family val="2"/>
        <scheme val="minor"/>
      </rPr>
      <t>Number of missed school days and days when caretaker plans were disrupted due to child’s asthma symptoms</t>
    </r>
    <r>
      <rPr>
        <sz val="11"/>
        <color theme="1"/>
        <rFont val="Calibri"/>
        <family val="2"/>
        <scheme val="minor"/>
      </rPr>
      <t>: Baseline and 12-month event rates from the Inner-City Asthma Study, a RCT carried out in seven large U.S. cities, were used for both control (without CHW intervention) and intervention (with CHW intervention) groups. The study asked participants about the number of days missed or disrupted over the previous two weeks; researchers asked participants this question before and after the intervention. The asthma study reported a 9 percent reduction in missed school days in the control group and a 41 percent reduction in the intervention group; and a 13 percent reduction in caretaker days disrupted in the control group and a 43 percent reduction in the intervention group. For the proposed CHW intervention, the developers calculated 12-month rates based on the asthma study's two-week rates. (Morgan, 2004)</t>
    </r>
  </si>
  <si>
    <t>Caretaker days were modeled for one parent only.  The rate of missed school days and days when a caretaker's plans were disrupted would continue at a constant rate for 12 months.</t>
  </si>
  <si>
    <t xml:space="preserve">based on a model originally developed with funding from the Connecticut Health Foundation. The caseload calculator tool is based on one developed on behalf of the Hispanic Health Council's CHIRP II Project, funded by the Connecticut Health Foundation. </t>
  </si>
  <si>
    <t>This interactive calculator tool projects the caseload, budgetary, financial, and clinical impact that policy makers often request to show that funding CHW services is a worthwhile investment. This tool utilizes public health data to estimate the potential impact of a specific CHW pediatric asthma intervention model developed by the King County Asthma Program in Washington State. The tool allows users to enter their own data if they have it, or to rely on data compiled by the developers from published studies, publicly available databases, or data the developers collected from CHWs and their employers.</t>
  </si>
  <si>
    <t>The developers combined the results of multiple studies and data sources, which can introduce error,</t>
  </si>
  <si>
    <t>While the developers made assumptions based on the best available evidence, they cannot guarantee the accuracy of these assumptions, and</t>
  </si>
  <si>
    <t>Operational factors can affect progress in achieving projected outcomes and cost savings.</t>
  </si>
  <si>
    <t>Helping families to understand clinical treatment recommendations,</t>
  </si>
  <si>
    <t>Providing asthma self-management education,</t>
  </si>
  <si>
    <t>This interactive calculator tool uses data drawn from the experience of the King County Asthma Program in Washington State, a national leader in CHW asthma program implementation. After testing multiple interventions since the early 2000s, King County found that its CHW asthma control programs produced a positive financial return on investment, but only for children at high risk of hospitalizations and emergency department or urgent care clinic visits. Over time, King County – which includes Seattle – streamlined its model to include only essential elements, in order to improve the model’s cost effectiveness.</t>
  </si>
  <si>
    <t>The CHWs made four home visits per participant, with visits scheduled two, six, and fourteen weeks after the initial in-home assessment. In addition, they distributed asthma education materials; provided support by telephone, email, and additional home visits as required; and equipped families with asthma trigger mitigation supplies. (Campbell, 2015)</t>
  </si>
  <si>
    <t xml:space="preserve">With a caretaker who did not speak Spanish or English or suffered from serious mental illness; </t>
  </si>
  <si>
    <t>Without permanent housing;</t>
  </si>
  <si>
    <t>Living in homes that appeared unsafe for CHW visitation; and</t>
  </si>
  <si>
    <t>With a child with a serious medical condition (in addition to poorly controlled asthma). (Campbell, 2015)</t>
  </si>
  <si>
    <t>Centers for Disease Control and Prevention (2014). AsthmaStats: Uncontrolled Asthma among Persons with Current Asthma. National Center for Environmental Health, Division of Environmental Hazards and Health Effects. Last updated: September 15, 2014. Available at: https://www.cdc.gov/asthma/asthma_stats/uncontrolled_asthma.htm [Accessed September 4, 2018]</t>
  </si>
  <si>
    <t xml:space="preserve">The developers built this calculator tool as an editable excel document. Users can enter their own data in the spaces provided and the data entered will flow through the entire calculation. Alternatively, users can rely entirely on the default data included in the tool.  </t>
  </si>
  <si>
    <t>The table factors in the share of families who likely will decline to participate in the intervention, or will drop out before the end. For example, King County provides four home visits per family, however, many families do not complete the intervention. Factoring in the dropouts, the tool defaults to an average of three home visits per family. Similarly, the engagement time factors in the number of families who decline to participate.</t>
  </si>
  <si>
    <r>
      <rPr>
        <sz val="7"/>
        <color theme="1"/>
        <rFont val="Times New Roman"/>
        <family val="1"/>
      </rPr>
      <t xml:space="preserve"> </t>
    </r>
    <r>
      <rPr>
        <b/>
        <sz val="12"/>
        <color rgb="FF243F60"/>
        <rFont val="Cambria"/>
        <family val="1"/>
      </rPr>
      <t>Medical Cost Projections</t>
    </r>
    <r>
      <rPr>
        <sz val="11"/>
        <color theme="1"/>
        <rFont val="Calibri"/>
        <family val="2"/>
        <scheme val="minor"/>
      </rPr>
      <t>: This table estimates the savings in medical costs that would be generated from reductions in emergency department visits, urgent care clinic visits, and inpatient hospitalizations for individuals who complete the intervention. Users may enter their own hospital charge data, if available, or may rely on charge data from publicly available databases.</t>
    </r>
  </si>
  <si>
    <r>
      <rPr>
        <b/>
        <sz val="12"/>
        <color rgb="FF243F60"/>
        <rFont val="Cambria"/>
        <family val="1"/>
      </rPr>
      <t>Health Outcomes Projections</t>
    </r>
    <r>
      <rPr>
        <sz val="11"/>
        <color theme="1"/>
        <rFont val="Calibri"/>
        <family val="2"/>
        <scheme val="minor"/>
      </rPr>
      <t xml:space="preserve">: This table estimates health outcomes based on the results achieved in published studies for individuals who complete the intervention. The measures reported are: the change in emergency department visits, urgent care clinic visits, hospitalizations, rescue medication use, symptom free days, and the number of patients whose asthma is well-controlled. Users may enter their own baseline data, if available, or may rely on baseline data from published studies.  </t>
    </r>
  </si>
  <si>
    <r>
      <rPr>
        <sz val="7"/>
        <color theme="1"/>
        <rFont val="Times New Roman"/>
        <family val="1"/>
      </rPr>
      <t xml:space="preserve"> </t>
    </r>
    <r>
      <rPr>
        <b/>
        <sz val="12"/>
        <color rgb="FF243F60"/>
        <rFont val="Cambria"/>
        <family val="1"/>
      </rPr>
      <t>Budget</t>
    </r>
    <r>
      <rPr>
        <sz val="11"/>
        <color theme="1"/>
        <rFont val="Calibri"/>
        <family val="2"/>
        <scheme val="minor"/>
      </rPr>
      <t xml:space="preserve">: This table provides a budget of costs typically required to implement a CHW pediatric asthma program over one year and three years. This data includes figures that are generally available from a finance department:  CHW’s and supervisor’s salaries and FTE, fringe benefit rate, mileage, mileage reimbursement rate, supply and training costs, facility and indirect costs. The default values provided are based on data the developers collected from CHWs and CHW employers. Users can enter data in accordance with their own organization’s financial requirements. There are also blank spaces where a user can add other costs that the developers did not identify.  </t>
    </r>
  </si>
  <si>
    <r>
      <rPr>
        <b/>
        <sz val="12"/>
        <color rgb="FF243F60"/>
        <rFont val="Cambria"/>
        <family val="1"/>
      </rPr>
      <t>Caseload</t>
    </r>
    <r>
      <rPr>
        <sz val="11"/>
        <color theme="1"/>
        <rFont val="Calibri"/>
        <family val="2"/>
        <scheme val="minor"/>
      </rPr>
      <t xml:space="preserve">: This table estimates the number of participants who will complete the intervention per CHW per year.  The table includes factors such as each CHW’s number of paid hours, paid time off, and administrative time, as well as the time required to serve each participant. The tool developers assume the number of patients per year will remain constant (new patients would be enrolled to replace dropouts).  </t>
    </r>
  </si>
  <si>
    <r>
      <rPr>
        <b/>
        <sz val="12"/>
        <color rgb="FF243F60"/>
        <rFont val="Cambria"/>
        <family val="1"/>
      </rPr>
      <t>Other Quality Measures</t>
    </r>
    <r>
      <rPr>
        <sz val="11"/>
        <color theme="1"/>
        <rFont val="Calibri"/>
        <family val="2"/>
        <scheme val="minor"/>
      </rPr>
      <t>: This table lists nationally recognized quality measures that would likely improve after implementing a CHW pediatric asthma intervention. Payors may include these measures in public reporting and in value-based payment arrangements. If an organization is eligible for enhanced payment based on improvements in one or more of these measures, the finance department may wish to incorporate this information in its financial projections. There are no calculations included in the table.</t>
    </r>
  </si>
  <si>
    <r>
      <rPr>
        <sz val="7"/>
        <color theme="1"/>
        <rFont val="Times New Roman"/>
        <family val="1"/>
      </rPr>
      <t xml:space="preserve"> </t>
    </r>
    <r>
      <rPr>
        <b/>
        <sz val="12"/>
        <color rgb="FF243F60"/>
        <rFont val="Cambria"/>
        <family val="1"/>
      </rPr>
      <t>Financial Return on Investment (ROI)</t>
    </r>
    <r>
      <rPr>
        <sz val="11"/>
        <color theme="1"/>
        <rFont val="Calibri"/>
        <family val="2"/>
        <scheme val="minor"/>
      </rPr>
      <t>: This table estimates the financial ROI, that is, the amount returned in savings for every dollar spent on the intervention. ROI is calculated as the difference between the gain from an investment and the cost of an investment, divided by the cost of an investment. A positive ROI indicates that the intervention yielded savings greater than the program costs, while a negative ROI (less than zero) demonstrates that the intervention did not recover program cost investments. This tool calculates the data presented in this table using the medical cost savings calculated in Table 4 and the expected cost of the intervention calculated in Table 2. This table also shows the total net savings, including the social return from recovered school and caregiver work days.</t>
    </r>
  </si>
  <si>
    <t>Time, in minutes, for initial call to invite individuals to participate</t>
  </si>
  <si>
    <t>The following section estimates the number of members that need to be contacted, assuming that a percentage of members will not accept to be part of the intervention. The estimated enrollment rate of 60% is based on the findings from studies in Boston, MA (Bhaumik, 2013 and Woods, 2012) and King County, WA (Campbell, 2015).  The estimated drop-out rate of 46% is based on findings from the same Boston, MA studies and two in New York, NY (Findley, 2014 and Peretz, 2012).</t>
  </si>
  <si>
    <t>This table estimates the number of participants who complete the intervention per Community Health Worker per year. The default values are typical for an asthma intervention model. You may adjust the assumptions (pink cells) to meet your own program needs.  The data you enter will flow through the calculations in every table.</t>
  </si>
  <si>
    <t>This table provides a budget of costs typically associated with the implementation of a CHW asthma intervention over one and three years. You may change assumptions (pink cells) in accordance with your organization's financial requirements.</t>
  </si>
  <si>
    <t>d. Facility costs are expenses related to facility space, including rent, mortgage interest, depreciation, operation, maintenance, furnishing, utilities, and routine repairs.</t>
  </si>
  <si>
    <t>e. Indirect costs represent the expenses of doing business that are not readily identified with a particular grant, contract, project function or activity, but are necessary for the general operation of the organization and the conduct of activities it performs. (Retrieved from https://www2.ed.gov/about/offices/list/ocfo/intro.html)</t>
  </si>
  <si>
    <t>f. Years 2 and 3 costs equal Year 1 costs, less laptop and core training costs, plus 3.3% inflation adjustment based on the CMS National Health Expenditures and Selected Economic Indicators, Levels and Annual Percent Change: Calendar Years 2010-2026.</t>
  </si>
  <si>
    <t>If you have baseline utilization data per year for your target population, you may enter it here.</t>
  </si>
  <si>
    <t>For example, you could conduct a study of your patient population (called the "Target Population"). For each child, you would need to ask a parent or caregiver for the number of days when rescue medication was used in the last 2 weeks, as well as number of days free of symptoms.  Clinicians could determine if each child had well-controled asthma.</t>
  </si>
  <si>
    <t>Rescue medication use (Days Used in past 2 weeks), per person</t>
  </si>
  <si>
    <r>
      <t xml:space="preserve">Rescue medication use (Days Used in past 2 weeks), per person: </t>
    </r>
    <r>
      <rPr>
        <u/>
        <sz val="11"/>
        <color theme="1"/>
        <rFont val="Calibri"/>
        <family val="2"/>
        <scheme val="minor"/>
      </rPr>
      <t>lower is better.</t>
    </r>
  </si>
  <si>
    <t xml:space="preserve">This table projects the change in direct medical costs resulting from implementing the proposed CHW intervention. This table calculates savings generated from fewer emergency room visits, inpatient hospital stays, and urgent care clinic visits. The table defaults to published data for your state. The table uses hospital charge data (published prices) to estimate the cost of providing the service.
To use the table, select the State where you will implement the intervention, as well as the year the program will start, from the drop down menus (green cells).  If you have data on the local charge for an emergency visit, hospitalization and urgent care visits for asthma, you may enter that data here (pink cells). 
</t>
  </si>
  <si>
    <t>This table lists nationally recognized quality measures that would likely improve after implementing a CHW intervention for asthma.  Payors may include these measures in public reporting and in value-based payment arrangements.</t>
  </si>
  <si>
    <t>NQF - Use of Appropriate Medications for People With Asthma (ASM)</t>
  </si>
  <si>
    <t>If you do not have your own baseline data, we will use data from a published study (Campbell et al., 2015).</t>
  </si>
  <si>
    <t xml:space="preserve">This table projects the improvement in health quality and reduction in healthcare utilization over the first year for participants with and without the intervention. The default values below are the baseline rates found in a published study of Seattle King-County (Campbell at al.,  2015). You may enter your own baseline utilization rates if you have that data.
The developers project changes in asthma symptom control, quality measures, and health care utilization for the participants who complete the proposed CHW asthma intervention, relative to children who do not participate. This approach is more robust than comparing participant outcomes to baseline data alone, because some children will experience improvements in asthma control without intervention. Therefore, the following table shows asthma improvement for children who complete the intervention beyond those improvements experienced by children with no intervention. </t>
  </si>
  <si>
    <t>The following table projects the benefits of implementing the asthma mitigation intervention based on results from the Campbell study published in 2015.</t>
  </si>
  <si>
    <t>If you do not have your own baseline data to enter below, we will use emergency department and hospitalization data from a published study (Nepaul et al., 2012) and urgent care data from a federal government agency (CMS, 2013).</t>
  </si>
  <si>
    <t>If you do not have your own baseline data, we will use data from a published study (Morgan et al., 2004).</t>
  </si>
  <si>
    <t>This table projects the number of missed school days and adult caregiver days disrupted by a child's asthma symptoms that can be recovered through using the CHW intervention.  The default values below are baseline rates found in a published study (Morgan et al., 2004). If you have your own baseline utilization rates, you may enter it here (pink cells).</t>
  </si>
  <si>
    <t>Average Number of Visits per Person</t>
  </si>
  <si>
    <t>For example, a partner hospital may be able to provide you with the number of emergency visits, urgent care visits and hospitalizations for a specified group of patients (called the "Target Population") in the last year.</t>
  </si>
  <si>
    <t>Other Activities</t>
  </si>
  <si>
    <t>Hours per year for other activities</t>
  </si>
  <si>
    <t>Other Staff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</si>
</sst>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0.0"/>
    <numFmt numFmtId="165" formatCode="_(&quot;$&quot;* #,##0_);_(&quot;$&quot;* \(#,##0\);_(&quot;$&quot;* &quot;-&quot;??_);_(@_)"/>
    <numFmt numFmtId="166" formatCode="_(* #,##0_);_(* \(#,##0\);_(* &quot;-&quot;??_);_(@_)"/>
    <numFmt numFmtId="167" formatCode="&quot;$&quot;#,##0.000_);\(&quot;$&quot;#,##0.000\)"/>
    <numFmt numFmtId="168" formatCode="0.000"/>
    <numFmt numFmtId="169" formatCode="_(* #,##0.000_);_(* \(#,##0.000\);_(* &quot;-&quot;??_);_(@_)"/>
    <numFmt numFmtId="170" formatCode="_(* #,##0.0_);_(* \(#,##0.0\);_(* &quot;-&quot;??_);_(@_)"/>
  </numFmts>
  <fonts count="56">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color rgb="FF000000"/>
      <name val="Calibri"/>
      <family val="2"/>
      <scheme val="minor"/>
    </font>
    <font>
      <i/>
      <sz val="11"/>
      <color rgb="FF000000"/>
      <name val="Calibri"/>
      <family val="2"/>
      <scheme val="minor"/>
    </font>
    <font>
      <i/>
      <sz val="11"/>
      <color theme="1"/>
      <name val="Calibri"/>
      <family val="2"/>
      <scheme val="minor"/>
    </font>
    <font>
      <sz val="10"/>
      <color theme="1"/>
      <name val="Symbol"/>
      <family val="1"/>
      <charset val="2"/>
    </font>
    <font>
      <sz val="10"/>
      <name val="Calibri"/>
      <family val="2"/>
      <scheme val="minor"/>
    </font>
    <font>
      <u/>
      <sz val="11"/>
      <color theme="10"/>
      <name val="Calibri"/>
      <family val="2"/>
      <scheme val="minor"/>
    </font>
    <font>
      <sz val="11"/>
      <color rgb="FF000000"/>
      <name val="Calibri"/>
      <family val="2"/>
      <scheme val="minor"/>
    </font>
    <font>
      <sz val="10"/>
      <color theme="1"/>
      <name val="Calibri"/>
      <family val="2"/>
      <scheme val="minor"/>
    </font>
    <font>
      <b/>
      <sz val="11"/>
      <name val="Calibri"/>
      <family val="2"/>
      <scheme val="minor"/>
    </font>
    <font>
      <sz val="11"/>
      <name val="Calibri"/>
      <family val="2"/>
      <scheme val="minor"/>
    </font>
    <font>
      <b/>
      <i/>
      <sz val="11"/>
      <color theme="1"/>
      <name val="Calibri"/>
      <family val="2"/>
      <scheme val="minor"/>
    </font>
    <font>
      <b/>
      <u/>
      <sz val="11"/>
      <color rgb="FF000000"/>
      <name val="Calibri"/>
      <family val="2"/>
      <scheme val="minor"/>
    </font>
    <font>
      <i/>
      <u/>
      <sz val="11"/>
      <color theme="1"/>
      <name val="Calibri"/>
      <family val="2"/>
      <scheme val="minor"/>
    </font>
    <font>
      <b/>
      <sz val="10"/>
      <color theme="1"/>
      <name val="Calibri"/>
      <family val="2"/>
      <scheme val="minor"/>
    </font>
    <font>
      <b/>
      <sz val="10"/>
      <color rgb="FF000000"/>
      <name val="Calibri"/>
      <family val="2"/>
      <scheme val="minor"/>
    </font>
    <font>
      <sz val="10"/>
      <color rgb="FF000000"/>
      <name val="Calibri"/>
      <family val="2"/>
      <scheme val="minor"/>
    </font>
    <font>
      <b/>
      <sz val="10"/>
      <color theme="0"/>
      <name val="Calibri"/>
      <family val="2"/>
      <scheme val="minor"/>
    </font>
    <font>
      <i/>
      <sz val="10"/>
      <color rgb="FF000000"/>
      <name val="Calibri"/>
      <family val="2"/>
      <scheme val="minor"/>
    </font>
    <font>
      <b/>
      <i/>
      <sz val="11"/>
      <color rgb="FF000000"/>
      <name val="Calibri"/>
      <family val="2"/>
      <scheme val="minor"/>
    </font>
    <font>
      <sz val="10"/>
      <color theme="0"/>
      <name val="Calibri"/>
      <family val="2"/>
      <scheme val="minor"/>
    </font>
    <font>
      <i/>
      <sz val="10"/>
      <color theme="1"/>
      <name val="Calibri"/>
      <family val="2"/>
      <scheme val="minor"/>
    </font>
    <font>
      <b/>
      <sz val="11"/>
      <color rgb="FF002060"/>
      <name val="Calibri"/>
      <family val="2"/>
      <scheme val="minor"/>
    </font>
    <font>
      <u/>
      <sz val="11"/>
      <color rgb="FF000000"/>
      <name val="Calibri"/>
      <family val="2"/>
      <scheme val="minor"/>
    </font>
    <font>
      <u/>
      <sz val="11"/>
      <name val="Calibri"/>
      <family val="2"/>
      <scheme val="minor"/>
    </font>
    <font>
      <u/>
      <sz val="11"/>
      <color theme="1"/>
      <name val="Calibri"/>
      <family val="2"/>
      <scheme val="minor"/>
    </font>
    <font>
      <b/>
      <u/>
      <sz val="11"/>
      <color theme="1"/>
      <name val="Calibri"/>
      <family val="2"/>
      <scheme val="minor"/>
    </font>
    <font>
      <sz val="9"/>
      <color theme="1"/>
      <name val="Calibri"/>
      <family val="2"/>
      <scheme val="minor"/>
    </font>
    <font>
      <sz val="14"/>
      <color theme="1"/>
      <name val="Calibri"/>
      <family val="2"/>
      <scheme val="minor"/>
    </font>
    <font>
      <sz val="12"/>
      <color theme="1"/>
      <name val="Calibri"/>
      <family val="2"/>
      <scheme val="minor"/>
    </font>
    <font>
      <sz val="12"/>
      <color rgb="FF0070C0"/>
      <name val="Calibri"/>
      <family val="2"/>
      <scheme val="minor"/>
    </font>
    <font>
      <u/>
      <sz val="20"/>
      <color rgb="FF2C4D88"/>
      <name val="Calibri"/>
      <family val="2"/>
      <scheme val="minor"/>
    </font>
    <font>
      <vertAlign val="superscript"/>
      <sz val="11"/>
      <color theme="1"/>
      <name val="Calibri"/>
      <family val="2"/>
      <scheme val="minor"/>
    </font>
    <font>
      <i/>
      <vertAlign val="superscript"/>
      <sz val="11"/>
      <color theme="1"/>
      <name val="Calibri"/>
      <family val="2"/>
      <scheme val="minor"/>
    </font>
    <font>
      <u/>
      <sz val="9"/>
      <color theme="10"/>
      <name val="Calibri"/>
      <family val="2"/>
      <scheme val="minor"/>
    </font>
    <font>
      <b/>
      <vertAlign val="superscript"/>
      <sz val="11"/>
      <color theme="1"/>
      <name val="Calibri"/>
      <family val="2"/>
      <scheme val="minor"/>
    </font>
    <font>
      <b/>
      <vertAlign val="superscript"/>
      <sz val="11"/>
      <color rgb="FF000000"/>
      <name val="Calibri"/>
      <family val="2"/>
      <scheme val="minor"/>
    </font>
    <font>
      <sz val="15"/>
      <color theme="1"/>
      <name val="Calibri"/>
      <family val="2"/>
      <scheme val="minor"/>
    </font>
    <font>
      <b/>
      <sz val="20"/>
      <color rgb="FF0070C0"/>
      <name val="Aharoni"/>
    </font>
    <font>
      <b/>
      <sz val="16"/>
      <color rgb="FF0070C0"/>
      <name val="Aharoni"/>
    </font>
    <font>
      <sz val="16"/>
      <color rgb="FF365F91"/>
      <name val="Cambria"/>
      <family val="1"/>
    </font>
    <font>
      <sz val="7"/>
      <color theme="1"/>
      <name val="Times New Roman"/>
      <family val="1"/>
    </font>
    <font>
      <sz val="11"/>
      <color theme="1"/>
      <name val="Symbol"/>
      <family val="1"/>
      <charset val="2"/>
    </font>
    <font>
      <b/>
      <sz val="14"/>
      <color theme="1"/>
      <name val="Calibri"/>
      <family val="2"/>
      <scheme val="minor"/>
    </font>
    <font>
      <b/>
      <i/>
      <sz val="10"/>
      <color theme="1"/>
      <name val="Calibri"/>
      <family val="2"/>
      <scheme val="minor"/>
    </font>
    <font>
      <u/>
      <sz val="10"/>
      <color theme="10"/>
      <name val="Calibri"/>
      <family val="2"/>
      <scheme val="minor"/>
    </font>
    <font>
      <sz val="12"/>
      <color theme="1"/>
      <name val="Tw Cen MT"/>
      <family val="2"/>
    </font>
    <font>
      <sz val="11"/>
      <color theme="1"/>
      <name val="Calibri"/>
      <family val="1"/>
      <scheme val="minor"/>
    </font>
    <font>
      <b/>
      <sz val="16"/>
      <color rgb="FF365F91"/>
      <name val="Cambria"/>
      <family val="1"/>
    </font>
    <font>
      <b/>
      <sz val="13"/>
      <color rgb="FF365F91"/>
      <name val="Cambria"/>
      <family val="1"/>
    </font>
    <font>
      <b/>
      <sz val="12"/>
      <color rgb="FF243F60"/>
      <name val="Cambria"/>
      <family val="1"/>
    </font>
    <font>
      <b/>
      <sz val="14"/>
      <color rgb="FF0070C0"/>
      <name val="Calibri"/>
      <family val="2"/>
      <scheme val="minor"/>
    </font>
    <font>
      <b/>
      <sz val="20"/>
      <color rgb="FF0070C0"/>
      <name val="Aharoni"/>
      <charset val="177"/>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F2F2F2"/>
        <bgColor indexed="64"/>
      </patternFill>
    </fill>
    <fill>
      <patternFill patternType="solid">
        <fgColor rgb="FFF5F5F5"/>
        <bgColor indexed="64"/>
      </patternFill>
    </fill>
    <fill>
      <patternFill patternType="solid">
        <fgColor theme="0" tint="-4.9989318521683403E-2"/>
        <bgColor indexed="64"/>
      </patternFill>
    </fill>
    <fill>
      <patternFill patternType="solid">
        <fgColor rgb="FFFFCCFF"/>
        <bgColor indexed="64"/>
      </patternFill>
    </fill>
    <fill>
      <patternFill patternType="solid">
        <fgColor theme="9" tint="0.79998168889431442"/>
        <bgColor indexed="64"/>
      </patternFill>
    </fill>
    <fill>
      <patternFill patternType="solid">
        <fgColor theme="0" tint="-0.14996795556505021"/>
        <bgColor indexed="64"/>
      </patternFill>
    </fill>
    <fill>
      <patternFill patternType="solid">
        <fgColor theme="4" tint="0.79998168889431442"/>
        <bgColor indexed="64"/>
      </patternFill>
    </fill>
  </fills>
  <borders count="138">
    <border>
      <left/>
      <right/>
      <top/>
      <bottom/>
      <diagonal/>
    </border>
    <border>
      <left style="thin">
        <color theme="0" tint="-0.14996795556505021"/>
      </left>
      <right style="thin">
        <color theme="4" tint="0.59996337778862885"/>
      </right>
      <top style="thin">
        <color theme="0" tint="-0.14996795556505021"/>
      </top>
      <bottom style="thin">
        <color theme="4" tint="0.59996337778862885"/>
      </bottom>
      <diagonal/>
    </border>
    <border>
      <left style="thin">
        <color theme="0" tint="-0.14996795556505021"/>
      </left>
      <right style="thin">
        <color theme="0" tint="-0.14996795556505021"/>
      </right>
      <top style="thin">
        <color theme="0" tint="-0.14996795556505021"/>
      </top>
      <bottom style="thin">
        <color theme="4" tint="0.59996337778862885"/>
      </bottom>
      <diagonal/>
    </border>
    <border>
      <left style="thin">
        <color theme="4" tint="0.59996337778862885"/>
      </left>
      <right style="thin">
        <color theme="0" tint="-0.14996795556505021"/>
      </right>
      <top style="thin">
        <color theme="0" tint="-0.14996795556505021"/>
      </top>
      <bottom style="thin">
        <color theme="4" tint="0.59996337778862885"/>
      </bottom>
      <diagonal/>
    </border>
    <border>
      <left style="thin">
        <color theme="0" tint="-0.14996795556505021"/>
      </left>
      <right style="thin">
        <color theme="4" tint="0.59996337778862885"/>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4" tint="0.59996337778862885"/>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4" tint="0.59996337778862885"/>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4" tint="0.59996337778862885"/>
      </left>
      <right style="thin">
        <color theme="0" tint="-0.14996795556505021"/>
      </right>
      <top/>
      <bottom style="thin">
        <color theme="0" tint="-0.14996795556505021"/>
      </bottom>
      <diagonal/>
    </border>
    <border>
      <left/>
      <right/>
      <top style="thin">
        <color theme="4" tint="0.59996337778862885"/>
      </top>
      <bottom/>
      <diagonal/>
    </border>
    <border>
      <left/>
      <right/>
      <top style="thin">
        <color theme="0" tint="-0.14996795556505021"/>
      </top>
      <bottom style="thin">
        <color theme="4" tint="0.59996337778862885"/>
      </bottom>
      <diagonal/>
    </border>
    <border>
      <left style="thin">
        <color theme="4" tint="0.59996337778862885"/>
      </left>
      <right/>
      <top style="thin">
        <color theme="0" tint="-0.14996795556505021"/>
      </top>
      <bottom style="thin">
        <color theme="4" tint="0.59996337778862885"/>
      </bottom>
      <diagonal/>
    </border>
    <border>
      <left/>
      <right style="thin">
        <color theme="4" tint="0.59996337778862885"/>
      </right>
      <top/>
      <bottom/>
      <diagonal/>
    </border>
    <border>
      <left style="thin">
        <color theme="4" tint="0.59996337778862885"/>
      </left>
      <right/>
      <top/>
      <bottom/>
      <diagonal/>
    </border>
    <border>
      <left/>
      <right style="thin">
        <color theme="4" tint="0.59996337778862885"/>
      </right>
      <top style="thin">
        <color theme="4" tint="0.59996337778862885"/>
      </top>
      <bottom/>
      <diagonal/>
    </border>
    <border>
      <left style="thin">
        <color theme="4" tint="0.59996337778862885"/>
      </left>
      <right/>
      <top style="thin">
        <color theme="4" tint="0.59996337778862885"/>
      </top>
      <bottom/>
      <diagonal/>
    </border>
    <border>
      <left/>
      <right style="thin">
        <color theme="4" tint="0.59996337778862885"/>
      </right>
      <top/>
      <bottom style="thin">
        <color theme="4" tint="0.59996337778862885"/>
      </bottom>
      <diagonal/>
    </border>
    <border>
      <left/>
      <right/>
      <top/>
      <bottom style="thin">
        <color theme="4" tint="0.59996337778862885"/>
      </bottom>
      <diagonal/>
    </border>
    <border>
      <left style="thin">
        <color theme="4" tint="0.59996337778862885"/>
      </left>
      <right/>
      <top/>
      <bottom style="thin">
        <color theme="4" tint="0.59996337778862885"/>
      </bottom>
      <diagonal/>
    </border>
    <border>
      <left/>
      <right/>
      <top/>
      <bottom style="medium">
        <color theme="0" tint="-0.24994659260841701"/>
      </bottom>
      <diagonal/>
    </border>
    <border>
      <left style="thin">
        <color theme="4" tint="0.59996337778862885"/>
      </left>
      <right/>
      <top/>
      <bottom style="medium">
        <color theme="0" tint="-0.24994659260841701"/>
      </bottom>
      <diagonal/>
    </border>
    <border>
      <left/>
      <right style="thin">
        <color theme="4" tint="0.59996337778862885"/>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style="thin">
        <color theme="4" tint="0.59996337778862885"/>
      </left>
      <right/>
      <top style="medium">
        <color theme="0" tint="-0.24994659260841701"/>
      </top>
      <bottom style="medium">
        <color theme="0" tint="-0.24994659260841701"/>
      </bottom>
      <diagonal/>
    </border>
    <border>
      <left/>
      <right style="thin">
        <color theme="4" tint="0.59996337778862885"/>
      </right>
      <top/>
      <bottom style="medium">
        <color theme="0" tint="-0.24994659260841701"/>
      </bottom>
      <diagonal/>
    </border>
    <border>
      <left style="thin">
        <color theme="0" tint="-0.24994659260841701"/>
      </left>
      <right style="thin">
        <color theme="0" tint="-0.24994659260841701"/>
      </right>
      <top style="thin">
        <color theme="0" tint="-0.24994659260841701"/>
      </top>
      <bottom style="thin">
        <color theme="4" tint="0.59996337778862885"/>
      </bottom>
      <diagonal/>
    </border>
    <border>
      <left style="thin">
        <color theme="4" tint="0.59996337778862885"/>
      </left>
      <right style="thin">
        <color theme="0" tint="-0.24994659260841701"/>
      </right>
      <top style="thin">
        <color theme="0" tint="-0.24994659260841701"/>
      </top>
      <bottom style="thin">
        <color theme="4" tint="0.59996337778862885"/>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style="thin">
        <color theme="4" tint="0.59996337778862885"/>
      </left>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4" tint="0.59996337778862885"/>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n">
        <color theme="4" tint="0.59996337778862885"/>
      </left>
      <right/>
      <top/>
      <bottom style="thin">
        <color theme="0" tint="-0.24994659260841701"/>
      </bottom>
      <diagonal/>
    </border>
    <border>
      <left style="thin">
        <color theme="0" tint="-0.24994659260841701"/>
      </left>
      <right/>
      <top style="thin">
        <color theme="0" tint="-0.24994659260841701"/>
      </top>
      <bottom/>
      <diagonal/>
    </border>
    <border>
      <left/>
      <right/>
      <top/>
      <bottom style="double">
        <color theme="0" tint="-0.499984740745262"/>
      </bottom>
      <diagonal/>
    </border>
    <border>
      <left/>
      <right/>
      <top style="double">
        <color theme="0" tint="-0.499984740745262"/>
      </top>
      <bottom/>
      <diagonal/>
    </border>
    <border>
      <left style="thin">
        <color theme="4" tint="0.59996337778862885"/>
      </left>
      <right/>
      <top/>
      <bottom style="double">
        <color theme="0" tint="-0.499984740745262"/>
      </bottom>
      <diagonal/>
    </border>
    <border>
      <left/>
      <right style="thin">
        <color theme="4" tint="0.59996337778862885"/>
      </right>
      <top/>
      <bottom style="double">
        <color theme="0" tint="-0.499984740745262"/>
      </bottom>
      <diagonal/>
    </border>
    <border>
      <left style="thin">
        <color theme="4" tint="0.59996337778862885"/>
      </left>
      <right/>
      <top style="double">
        <color theme="0" tint="-0.499984740745262"/>
      </top>
      <bottom/>
      <diagonal/>
    </border>
    <border>
      <left/>
      <right style="thin">
        <color theme="4" tint="0.59996337778862885"/>
      </right>
      <top style="double">
        <color theme="0" tint="-0.499984740745262"/>
      </top>
      <bottom/>
      <diagonal/>
    </border>
    <border>
      <left style="thin">
        <color theme="0" tint="-0.24994659260841701"/>
      </left>
      <right/>
      <top/>
      <bottom style="double">
        <color theme="0" tint="-0.499984740745262"/>
      </bottom>
      <diagonal/>
    </border>
    <border>
      <left style="thin">
        <color indexed="64"/>
      </left>
      <right style="thin">
        <color indexed="64"/>
      </right>
      <top style="thin">
        <color indexed="64"/>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0" tint="-0.24994659260841701"/>
      </left>
      <right style="thin">
        <color theme="4" tint="0.59996337778862885"/>
      </right>
      <top style="thin">
        <color theme="0" tint="-0.24994659260841701"/>
      </top>
      <bottom style="thin">
        <color theme="0" tint="-0.24994659260841701"/>
      </bottom>
      <diagonal/>
    </border>
    <border>
      <left style="thin">
        <color theme="4" tint="0.59996337778862885"/>
      </left>
      <right/>
      <top style="medium">
        <color theme="0" tint="-0.24994659260841701"/>
      </top>
      <bottom style="thin">
        <color theme="0" tint="-0.24994659260841701"/>
      </bottom>
      <diagonal/>
    </border>
    <border>
      <left/>
      <right style="thin">
        <color theme="0" tint="-0.24994659260841701"/>
      </right>
      <top style="medium">
        <color theme="0" tint="-0.24994659260841701"/>
      </top>
      <bottom style="thin">
        <color theme="0" tint="-0.24994659260841701"/>
      </bottom>
      <diagonal/>
    </border>
    <border>
      <left style="thin">
        <color theme="4" tint="0.59996337778862885"/>
      </left>
      <right/>
      <top style="thin">
        <color theme="0" tint="-0.14996795556505021"/>
      </top>
      <bottom style="thin">
        <color theme="0" tint="-0.24994659260841701"/>
      </bottom>
      <diagonal/>
    </border>
    <border>
      <left/>
      <right style="thin">
        <color theme="4" tint="0.59996337778862885"/>
      </right>
      <top style="thin">
        <color theme="0" tint="-0.24994659260841701"/>
      </top>
      <bottom style="thin">
        <color theme="0" tint="-0.24994659260841701"/>
      </bottom>
      <diagonal/>
    </border>
    <border>
      <left style="thin">
        <color theme="0" tint="-0.24994659260841701"/>
      </left>
      <right style="thin">
        <color theme="4" tint="0.59996337778862885"/>
      </right>
      <top style="thin">
        <color theme="0" tint="-0.24994659260841701"/>
      </top>
      <bottom style="thin">
        <color theme="4" tint="0.59996337778862885"/>
      </bottom>
      <diagonal/>
    </border>
    <border>
      <left style="thin">
        <color theme="4" tint="0.59996337778862885"/>
      </left>
      <right style="thin">
        <color theme="0" tint="-0.24994659260841701"/>
      </right>
      <top style="thin">
        <color theme="4" tint="0.59996337778862885"/>
      </top>
      <bottom/>
      <diagonal/>
    </border>
    <border>
      <left style="thin">
        <color theme="0" tint="-0.24994659260841701"/>
      </left>
      <right style="thin">
        <color theme="0" tint="-0.24994659260841701"/>
      </right>
      <top style="thin">
        <color theme="4" tint="0.59996337778862885"/>
      </top>
      <bottom/>
      <diagonal/>
    </border>
    <border>
      <left style="thin">
        <color theme="0" tint="-0.24994659260841701"/>
      </left>
      <right style="thin">
        <color theme="4" tint="0.59996337778862885"/>
      </right>
      <top style="thin">
        <color theme="4" tint="0.59996337778862885"/>
      </top>
      <bottom/>
      <diagonal/>
    </border>
    <border>
      <left style="thin">
        <color theme="4" tint="0.59996337778862885"/>
      </left>
      <right/>
      <top style="medium">
        <color theme="0" tint="-0.14996795556505021"/>
      </top>
      <bottom style="medium">
        <color theme="0" tint="-0.14996795556505021"/>
      </bottom>
      <diagonal/>
    </border>
    <border>
      <left/>
      <right/>
      <top style="medium">
        <color theme="0" tint="-0.14996795556505021"/>
      </top>
      <bottom style="medium">
        <color theme="0" tint="-0.14996795556505021"/>
      </bottom>
      <diagonal/>
    </border>
    <border>
      <left/>
      <right style="thin">
        <color theme="4" tint="0.59996337778862885"/>
      </right>
      <top style="medium">
        <color theme="0" tint="-0.14996795556505021"/>
      </top>
      <bottom style="medium">
        <color theme="0" tint="-0.14996795556505021"/>
      </bottom>
      <diagonal/>
    </border>
    <border>
      <left/>
      <right style="thin">
        <color theme="4" tint="0.59996337778862885"/>
      </right>
      <top/>
      <bottom style="thin">
        <color theme="0" tint="-0.24994659260841701"/>
      </bottom>
      <diagonal/>
    </border>
    <border>
      <left style="thin">
        <color theme="4" tint="0.59996337778862885"/>
      </left>
      <right style="thin">
        <color theme="0" tint="-0.14996795556505021"/>
      </right>
      <top style="medium">
        <color theme="0" tint="-0.14996795556505021"/>
      </top>
      <bottom style="thin">
        <color theme="0" tint="-0.24994659260841701"/>
      </bottom>
      <diagonal/>
    </border>
    <border>
      <left style="thin">
        <color theme="0" tint="-0.14996795556505021"/>
      </left>
      <right style="thin">
        <color theme="0" tint="-0.14996795556505021"/>
      </right>
      <top style="medium">
        <color theme="0" tint="-0.14996795556505021"/>
      </top>
      <bottom style="thin">
        <color theme="0" tint="-0.24994659260841701"/>
      </bottom>
      <diagonal/>
    </border>
    <border>
      <left style="thin">
        <color theme="0" tint="-0.14996795556505021"/>
      </left>
      <right style="thin">
        <color theme="4" tint="0.59996337778862885"/>
      </right>
      <top style="medium">
        <color theme="0" tint="-0.14996795556505021"/>
      </top>
      <bottom style="thin">
        <color theme="0" tint="-0.24994659260841701"/>
      </bottom>
      <diagonal/>
    </border>
    <border>
      <left style="thin">
        <color theme="4" tint="0.59996337778862885"/>
      </left>
      <right style="thin">
        <color theme="0" tint="-0.14996795556505021"/>
      </right>
      <top style="thin">
        <color theme="0" tint="-0.24994659260841701"/>
      </top>
      <bottom style="thin">
        <color theme="0" tint="-0.14996795556505021"/>
      </bottom>
      <diagonal/>
    </border>
    <border>
      <left style="thin">
        <color theme="4" tint="0.59996337778862885"/>
      </left>
      <right style="thin">
        <color theme="0" tint="-0.14996795556505021"/>
      </right>
      <top style="thin">
        <color theme="0" tint="-0.14996795556505021"/>
      </top>
      <bottom style="medium">
        <color theme="0" tint="-0.14996795556505021"/>
      </bottom>
      <diagonal/>
    </border>
    <border>
      <left style="thin">
        <color theme="0" tint="-0.24994659260841701"/>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14996795556505021"/>
      </top>
      <bottom style="thin">
        <color theme="0" tint="-0.24994659260841701"/>
      </bottom>
      <diagonal/>
    </border>
    <border>
      <left/>
      <right style="thin">
        <color theme="4" tint="0.59996337778862885"/>
      </right>
      <top style="thin">
        <color theme="0" tint="-0.14996795556505021"/>
      </top>
      <bottom style="thin">
        <color theme="0" tint="-0.24994659260841701"/>
      </bottom>
      <diagonal/>
    </border>
    <border>
      <left style="thin">
        <color theme="4" tint="0.59996337778862885"/>
      </left>
      <right style="thin">
        <color theme="0" tint="-0.24994659260841701"/>
      </right>
      <top style="thin">
        <color theme="0" tint="-0.24994659260841701"/>
      </top>
      <bottom style="double">
        <color theme="0" tint="-0.499984740745262"/>
      </bottom>
      <diagonal/>
    </border>
    <border>
      <left style="thin">
        <color theme="4" tint="0.59996337778862885"/>
      </left>
      <right style="thin">
        <color theme="0" tint="-0.24994659260841701"/>
      </right>
      <top style="thin">
        <color theme="0" tint="-0.24994659260841701"/>
      </top>
      <bottom style="double">
        <color theme="0" tint="-0.34998626667073579"/>
      </bottom>
      <diagonal/>
    </border>
    <border>
      <left style="thin">
        <color theme="0" tint="-0.24994659260841701"/>
      </left>
      <right style="thin">
        <color theme="0" tint="-0.24994659260841701"/>
      </right>
      <top style="thin">
        <color theme="0" tint="-0.24994659260841701"/>
      </top>
      <bottom style="double">
        <color theme="0" tint="-0.34998626667073579"/>
      </bottom>
      <diagonal/>
    </border>
    <border>
      <left style="thin">
        <color theme="0" tint="-0.24994659260841701"/>
      </left>
      <right style="thin">
        <color theme="0" tint="-0.24994659260841701"/>
      </right>
      <top/>
      <bottom style="double">
        <color theme="0" tint="-0.34998626667073579"/>
      </bottom>
      <diagonal/>
    </border>
    <border>
      <left style="thin">
        <color theme="0" tint="-0.24994659260841701"/>
      </left>
      <right style="thin">
        <color theme="4" tint="0.59996337778862885"/>
      </right>
      <top style="thin">
        <color theme="0" tint="-0.24994659260841701"/>
      </top>
      <bottom style="double">
        <color theme="0" tint="-0.34998626667073579"/>
      </bottom>
      <diagonal/>
    </border>
    <border>
      <left style="thin">
        <color theme="1" tint="0.499984740745262"/>
      </left>
      <right style="thin">
        <color theme="1" tint="0.499984740745262"/>
      </right>
      <top/>
      <bottom style="thin">
        <color theme="1" tint="0.499984740745262"/>
      </bottom>
      <diagonal/>
    </border>
    <border>
      <left style="thin">
        <color theme="4" tint="0.59996337778862885"/>
      </left>
      <right/>
      <top style="double">
        <color theme="0" tint="-0.34998626667073579"/>
      </top>
      <bottom style="double">
        <color theme="0" tint="-0.34998626667073579"/>
      </bottom>
      <diagonal/>
    </border>
    <border>
      <left/>
      <right/>
      <top style="double">
        <color theme="0" tint="-0.34998626667073579"/>
      </top>
      <bottom style="double">
        <color theme="0" tint="-0.34998626667073579"/>
      </bottom>
      <diagonal/>
    </border>
    <border>
      <left/>
      <right style="thin">
        <color theme="4" tint="0.59996337778862885"/>
      </right>
      <top style="double">
        <color theme="0" tint="-0.34998626667073579"/>
      </top>
      <bottom style="double">
        <color theme="0" tint="-0.34998626667073579"/>
      </bottom>
      <diagonal/>
    </border>
    <border>
      <left style="thin">
        <color theme="4" tint="0.59996337778862885"/>
      </left>
      <right style="thin">
        <color theme="0" tint="-0.14996795556505021"/>
      </right>
      <top style="medium">
        <color theme="0" tint="-0.24994659260841701"/>
      </top>
      <bottom style="thin">
        <color theme="0" tint="-0.14996795556505021"/>
      </bottom>
      <diagonal/>
    </border>
    <border>
      <left/>
      <right/>
      <top style="medium">
        <color theme="0" tint="-0.14993743705557422"/>
      </top>
      <bottom style="double">
        <color theme="0" tint="-0.34998626667073579"/>
      </bottom>
      <diagonal/>
    </border>
    <border>
      <left style="thin">
        <color theme="4" tint="0.59996337778862885"/>
      </left>
      <right/>
      <top style="medium">
        <color theme="0" tint="-0.14993743705557422"/>
      </top>
      <bottom style="double">
        <color theme="0" tint="-0.34998626667073579"/>
      </bottom>
      <diagonal/>
    </border>
    <border>
      <left/>
      <right style="thin">
        <color theme="4" tint="0.59996337778862885"/>
      </right>
      <top style="medium">
        <color theme="0" tint="-0.14993743705557422"/>
      </top>
      <bottom style="double">
        <color theme="0" tint="-0.34998626667073579"/>
      </bottom>
      <diagonal/>
    </border>
    <border>
      <left style="thin">
        <color theme="4" tint="0.59996337778862885"/>
      </left>
      <right style="thin">
        <color theme="0" tint="-0.14996795556505021"/>
      </right>
      <top style="double">
        <color theme="0" tint="-0.34998626667073579"/>
      </top>
      <bottom style="thin">
        <color theme="0" tint="-0.14996795556505021"/>
      </bottom>
      <diagonal/>
    </border>
    <border>
      <left style="thin">
        <color theme="0" tint="-0.14996795556505021"/>
      </left>
      <right style="thin">
        <color theme="0" tint="-0.14996795556505021"/>
      </right>
      <top style="double">
        <color theme="0" tint="-0.34998626667073579"/>
      </top>
      <bottom style="thin">
        <color theme="0" tint="-0.14996795556505021"/>
      </bottom>
      <diagonal/>
    </border>
    <border>
      <left style="thin">
        <color theme="0" tint="-0.14996795556505021"/>
      </left>
      <right style="thin">
        <color theme="4" tint="0.59996337778862885"/>
      </right>
      <top style="double">
        <color theme="0" tint="-0.34998626667073579"/>
      </top>
      <bottom style="thin">
        <color theme="0" tint="-0.14996795556505021"/>
      </bottom>
      <diagonal/>
    </border>
    <border>
      <left style="thin">
        <color theme="4" tint="0.59996337778862885"/>
      </left>
      <right style="thin">
        <color theme="0" tint="-0.14996795556505021"/>
      </right>
      <top style="thin">
        <color theme="4" tint="0.59996337778862885"/>
      </top>
      <bottom style="thin">
        <color theme="0" tint="-0.14996795556505021"/>
      </bottom>
      <diagonal/>
    </border>
    <border>
      <left style="thin">
        <color theme="0" tint="-0.14996795556505021"/>
      </left>
      <right style="thin">
        <color theme="0" tint="-0.14996795556505021"/>
      </right>
      <top style="thin">
        <color theme="4" tint="0.59996337778862885"/>
      </top>
      <bottom style="thin">
        <color theme="0" tint="-0.14996795556505021"/>
      </bottom>
      <diagonal/>
    </border>
    <border>
      <left style="thin">
        <color theme="0" tint="-0.14996795556505021"/>
      </left>
      <right style="thin">
        <color theme="4" tint="0.59996337778862885"/>
      </right>
      <top style="thin">
        <color theme="4" tint="0.59996337778862885"/>
      </top>
      <bottom style="thin">
        <color theme="0" tint="-0.14996795556505021"/>
      </bottom>
      <diagonal/>
    </border>
    <border>
      <left style="thin">
        <color theme="4" tint="0.59996337778862885"/>
      </left>
      <right/>
      <top/>
      <bottom style="medium">
        <color theme="0" tint="-0.14996795556505021"/>
      </bottom>
      <diagonal/>
    </border>
    <border>
      <left style="thin">
        <color theme="4" tint="0.59996337778862885"/>
      </left>
      <right style="thin">
        <color theme="1" tint="0.499984740745262"/>
      </right>
      <top style="thin">
        <color theme="1" tint="0.499984740745262"/>
      </top>
      <bottom style="double">
        <color theme="0" tint="-0.34998626667073579"/>
      </bottom>
      <diagonal/>
    </border>
    <border>
      <left style="thin">
        <color theme="1" tint="0.499984740745262"/>
      </left>
      <right style="thin">
        <color theme="1" tint="0.499984740745262"/>
      </right>
      <top style="thin">
        <color theme="1" tint="0.499984740745262"/>
      </top>
      <bottom style="double">
        <color theme="0" tint="-0.34998626667073579"/>
      </bottom>
      <diagonal/>
    </border>
    <border>
      <left style="thin">
        <color theme="1" tint="0.499984740745262"/>
      </left>
      <right style="thin">
        <color theme="4" tint="0.59996337778862885"/>
      </right>
      <top style="thin">
        <color theme="1" tint="0.499984740745262"/>
      </top>
      <bottom style="double">
        <color theme="0" tint="-0.34998626667073579"/>
      </bottom>
      <diagonal/>
    </border>
    <border>
      <left style="thin">
        <color theme="1" tint="0.499984740745262"/>
      </left>
      <right style="thin">
        <color theme="1" tint="0.499984740745262"/>
      </right>
      <top style="double">
        <color theme="0" tint="-0.34998626667073579"/>
      </top>
      <bottom style="thin">
        <color theme="1" tint="0.499984740745262"/>
      </bottom>
      <diagonal/>
    </border>
    <border>
      <left style="thin">
        <color theme="1" tint="0.499984740745262"/>
      </left>
      <right/>
      <top style="double">
        <color theme="0" tint="-0.34998626667073579"/>
      </top>
      <bottom style="thin">
        <color theme="1" tint="0.499984740745262"/>
      </bottom>
      <diagonal/>
    </border>
    <border>
      <left style="thin">
        <color theme="1" tint="0.499984740745262"/>
      </left>
      <right style="thin">
        <color theme="4" tint="0.59996337778862885"/>
      </right>
      <top style="double">
        <color theme="0" tint="-0.34998626667073579"/>
      </top>
      <bottom style="thin">
        <color theme="1" tint="0.499984740745262"/>
      </bottom>
      <diagonal/>
    </border>
    <border>
      <left style="thin">
        <color theme="1" tint="0.499984740745262"/>
      </left>
      <right style="thin">
        <color theme="4" tint="0.59996337778862885"/>
      </right>
      <top style="thin">
        <color theme="1" tint="0.499984740745262"/>
      </top>
      <bottom style="thin">
        <color theme="1" tint="0.499984740745262"/>
      </bottom>
      <diagonal/>
    </border>
    <border>
      <left style="thin">
        <color theme="1" tint="0.499984740745262"/>
      </left>
      <right style="thin">
        <color theme="4" tint="0.59996337778862885"/>
      </right>
      <top style="thin">
        <color theme="1" tint="0.499984740745262"/>
      </top>
      <bottom style="thin">
        <color theme="4" tint="0.59996337778862885"/>
      </bottom>
      <diagonal/>
    </border>
    <border>
      <left style="thin">
        <color theme="4" tint="0.59996337778862885"/>
      </left>
      <right/>
      <top style="double">
        <color theme="0" tint="-0.34998626667073579"/>
      </top>
      <bottom style="double">
        <color theme="2" tint="-0.24994659260841701"/>
      </bottom>
      <diagonal/>
    </border>
    <border>
      <left/>
      <right/>
      <top style="double">
        <color theme="0" tint="-0.34998626667073579"/>
      </top>
      <bottom style="double">
        <color theme="2" tint="-0.24994659260841701"/>
      </bottom>
      <diagonal/>
    </border>
    <border>
      <left/>
      <right style="thin">
        <color theme="4" tint="0.59996337778862885"/>
      </right>
      <top style="double">
        <color theme="0" tint="-0.34998626667073579"/>
      </top>
      <bottom style="double">
        <color theme="2" tint="-0.24994659260841701"/>
      </bottom>
      <diagonal/>
    </border>
    <border>
      <left style="thin">
        <color theme="4" tint="0.59996337778862885"/>
      </left>
      <right style="thin">
        <color theme="1" tint="0.499984740745262"/>
      </right>
      <top style="thin">
        <color theme="1" tint="0.499984740745262"/>
      </top>
      <bottom style="thin">
        <color theme="1" tint="0.499984740745262"/>
      </bottom>
      <diagonal/>
    </border>
    <border>
      <left style="thin">
        <color theme="4" tint="0.59996337778862885"/>
      </left>
      <right style="thin">
        <color theme="1" tint="0.499984740745262"/>
      </right>
      <top/>
      <bottom style="thin">
        <color theme="1" tint="0.499984740745262"/>
      </bottom>
      <diagonal/>
    </border>
    <border>
      <left style="thin">
        <color theme="1" tint="0.499984740745262"/>
      </left>
      <right style="thin">
        <color theme="4" tint="0.59996337778862885"/>
      </right>
      <top/>
      <bottom style="thin">
        <color theme="1" tint="0.499984740745262"/>
      </bottom>
      <diagonal/>
    </border>
    <border>
      <left style="thin">
        <color theme="4" tint="0.59996337778862885"/>
      </left>
      <right style="thin">
        <color theme="1" tint="0.499984740745262"/>
      </right>
      <top style="double">
        <color theme="0" tint="-0.34998626667073579"/>
      </top>
      <bottom style="thin">
        <color theme="1" tint="0.499984740745262"/>
      </bottom>
      <diagonal/>
    </border>
    <border>
      <left style="thin">
        <color theme="0" tint="-0.14996795556505021"/>
      </left>
      <right/>
      <top/>
      <bottom/>
      <diagonal/>
    </border>
    <border>
      <left style="thin">
        <color indexed="64"/>
      </left>
      <right/>
      <top/>
      <bottom/>
      <diagonal/>
    </border>
    <border>
      <left/>
      <right style="thin">
        <color indexed="64"/>
      </right>
      <top/>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theme="0" tint="-0.14996795556505021"/>
      </left>
      <right/>
      <top style="medium">
        <color theme="0" tint="-0.2499465926084170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top/>
      <bottom style="thin">
        <color theme="4" tint="0.59996337778862885"/>
      </bottom>
      <diagonal/>
    </border>
    <border>
      <left style="thin">
        <color theme="4" tint="0.59996337778862885"/>
      </left>
      <right style="thin">
        <color theme="4" tint="0.59996337778862885"/>
      </right>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4" tint="0.59996337778862885"/>
      </left>
      <right/>
      <top style="double">
        <color theme="0" tint="-0.24994659260841701"/>
      </top>
      <bottom style="medium">
        <color theme="0" tint="-0.24994659260841701"/>
      </bottom>
      <diagonal/>
    </border>
    <border>
      <left/>
      <right/>
      <top style="double">
        <color theme="0" tint="-0.24994659260841701"/>
      </top>
      <bottom style="medium">
        <color theme="0" tint="-0.24994659260841701"/>
      </bottom>
      <diagonal/>
    </border>
    <border>
      <left/>
      <right style="thin">
        <color theme="4" tint="0.59996337778862885"/>
      </right>
      <top style="double">
        <color theme="0" tint="-0.24994659260841701"/>
      </top>
      <bottom style="medium">
        <color theme="0" tint="-0.24994659260841701"/>
      </bottom>
      <diagonal/>
    </border>
    <border>
      <left style="thin">
        <color theme="4" tint="0.59996337778862885"/>
      </left>
      <right style="thin">
        <color theme="0" tint="-0.14996795556505021"/>
      </right>
      <top style="thin">
        <color theme="0" tint="-0.14996795556505021"/>
      </top>
      <bottom style="double">
        <color theme="0" tint="-0.24994659260841701"/>
      </bottom>
      <diagonal/>
    </border>
    <border>
      <left style="thin">
        <color theme="0" tint="-0.14996795556505021"/>
      </left>
      <right/>
      <top/>
      <bottom style="double">
        <color theme="0" tint="-0.24994659260841701"/>
      </bottom>
      <diagonal/>
    </border>
    <border>
      <left style="medium">
        <color theme="0" tint="-0.24994659260841701"/>
      </left>
      <right style="medium">
        <color theme="0" tint="-0.24994659260841701"/>
      </right>
      <top style="medium">
        <color theme="0" tint="-0.24994659260841701"/>
      </top>
      <bottom style="double">
        <color theme="0" tint="-0.2499465926084170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24994659260841701"/>
      </left>
      <right/>
      <top/>
      <bottom/>
      <diagonal/>
    </border>
    <border>
      <left/>
      <right style="thin">
        <color theme="0" tint="-0.24994659260841701"/>
      </right>
      <top/>
      <bottom/>
      <diagonal/>
    </border>
    <border>
      <left style="medium">
        <color rgb="FFFF1919"/>
      </left>
      <right/>
      <top style="medium">
        <color rgb="FFFF1919"/>
      </top>
      <bottom style="medium">
        <color rgb="FFFF1919"/>
      </bottom>
      <diagonal/>
    </border>
    <border>
      <left/>
      <right/>
      <top style="medium">
        <color rgb="FFFF1919"/>
      </top>
      <bottom style="medium">
        <color rgb="FFFF1919"/>
      </bottom>
      <diagonal/>
    </border>
    <border>
      <left/>
      <right style="medium">
        <color rgb="FFFF1919"/>
      </right>
      <top style="medium">
        <color rgb="FFFF1919"/>
      </top>
      <bottom style="medium">
        <color rgb="FFFF1919"/>
      </bottom>
      <diagonal/>
    </border>
    <border>
      <left style="thin">
        <color theme="4" tint="0.59996337778862885"/>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4" tint="0.59996337778862885"/>
      </right>
      <top style="thin">
        <color theme="1" tint="0.499984740745262"/>
      </top>
      <bottom/>
      <diagonal/>
    </border>
    <border>
      <left style="thin">
        <color theme="1" tint="0.499984740745262"/>
      </left>
      <right style="thin">
        <color theme="4" tint="0.59996337778862885"/>
      </right>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cellStyleXfs>
  <cellXfs count="562">
    <xf numFmtId="0" fontId="0" fillId="0" borderId="0" xfId="0"/>
    <xf numFmtId="1" fontId="4" fillId="2" borderId="1" xfId="0" applyNumberFormat="1" applyFont="1" applyFill="1" applyBorder="1" applyAlignment="1">
      <alignment horizontal="center" vertical="center" wrapText="1"/>
    </xf>
    <xf numFmtId="1" fontId="3" fillId="2" borderId="7" xfId="0" applyNumberFormat="1" applyFont="1" applyFill="1" applyBorder="1" applyAlignment="1">
      <alignment horizontal="center" vertical="center" wrapText="1"/>
    </xf>
    <xf numFmtId="0" fontId="4" fillId="3" borderId="0" xfId="0" applyFont="1" applyFill="1" applyBorder="1" applyAlignment="1">
      <alignment vertical="center" wrapText="1"/>
    </xf>
    <xf numFmtId="0" fontId="5" fillId="3" borderId="0" xfId="0" applyFont="1" applyFill="1" applyBorder="1" applyAlignment="1">
      <alignment vertical="center"/>
    </xf>
    <xf numFmtId="0" fontId="4" fillId="3" borderId="10" xfId="0" applyFont="1" applyFill="1" applyBorder="1" applyAlignment="1">
      <alignment vertical="center" wrapText="1"/>
    </xf>
    <xf numFmtId="0" fontId="4" fillId="3" borderId="10" xfId="0" applyFont="1" applyFill="1" applyBorder="1" applyAlignment="1">
      <alignment vertical="center"/>
    </xf>
    <xf numFmtId="0" fontId="0" fillId="0" borderId="0" xfId="0" applyAlignment="1"/>
    <xf numFmtId="0" fontId="3" fillId="0" borderId="0" xfId="0" applyFont="1"/>
    <xf numFmtId="0" fontId="6" fillId="0" borderId="0" xfId="0" applyFont="1"/>
    <xf numFmtId="0" fontId="0" fillId="0" borderId="0" xfId="0" applyFont="1"/>
    <xf numFmtId="0" fontId="6" fillId="0" borderId="0" xfId="0" applyFont="1" applyBorder="1" applyAlignment="1">
      <alignment vertical="center"/>
    </xf>
    <xf numFmtId="0" fontId="0" fillId="0" borderId="0" xfId="0" applyAlignment="1">
      <alignment vertical="top" wrapText="1"/>
    </xf>
    <xf numFmtId="0" fontId="11" fillId="0" borderId="0" xfId="0" applyFont="1" applyAlignment="1">
      <alignment horizontal="right" vertical="top" wrapText="1"/>
    </xf>
    <xf numFmtId="0" fontId="19" fillId="2" borderId="0" xfId="0" applyFont="1" applyFill="1" applyBorder="1" applyAlignment="1">
      <alignment vertical="top" wrapText="1"/>
    </xf>
    <xf numFmtId="6" fontId="19" fillId="0" borderId="0" xfId="0" applyNumberFormat="1" applyFont="1" applyBorder="1" applyAlignment="1" applyProtection="1">
      <alignment horizontal="right" vertical="top" wrapText="1"/>
      <protection locked="0"/>
    </xf>
    <xf numFmtId="0" fontId="19" fillId="0" borderId="0" xfId="0" applyFont="1" applyBorder="1" applyAlignment="1">
      <alignment vertical="top" wrapText="1"/>
    </xf>
    <xf numFmtId="0" fontId="0" fillId="0" borderId="0" xfId="0" applyAlignment="1">
      <alignment horizontal="center"/>
    </xf>
    <xf numFmtId="0" fontId="0" fillId="0" borderId="5" xfId="0" applyBorder="1" applyAlignment="1">
      <alignment vertical="top" wrapText="1"/>
    </xf>
    <xf numFmtId="0" fontId="0" fillId="0" borderId="0" xfId="0" applyBorder="1" applyAlignment="1">
      <alignment vertical="top" wrapText="1"/>
    </xf>
    <xf numFmtId="0" fontId="11" fillId="0" borderId="0" xfId="0" applyFont="1" applyBorder="1" applyAlignment="1">
      <alignment horizontal="right" vertical="top" wrapText="1"/>
    </xf>
    <xf numFmtId="0" fontId="19" fillId="0" borderId="38" xfId="0" applyFont="1" applyBorder="1" applyAlignment="1">
      <alignment vertical="top" wrapText="1"/>
    </xf>
    <xf numFmtId="6" fontId="19" fillId="0" borderId="38" xfId="0" applyNumberFormat="1" applyFont="1" applyBorder="1" applyAlignment="1" applyProtection="1">
      <alignment horizontal="right" vertical="top" wrapText="1"/>
      <protection locked="0"/>
    </xf>
    <xf numFmtId="164" fontId="25" fillId="0" borderId="0" xfId="0" applyNumberFormat="1" applyFont="1" applyBorder="1" applyAlignment="1">
      <alignment horizontal="right" vertical="top" wrapText="1"/>
    </xf>
    <xf numFmtId="0" fontId="3" fillId="0" borderId="0" xfId="0" applyFont="1" applyBorder="1" applyAlignment="1">
      <alignment horizontal="center"/>
    </xf>
    <xf numFmtId="0" fontId="0" fillId="0" borderId="0" xfId="0" applyFont="1" applyBorder="1" applyAlignment="1">
      <alignment vertical="center"/>
    </xf>
    <xf numFmtId="1" fontId="19" fillId="8" borderId="13" xfId="0" applyNumberFormat="1" applyFont="1" applyFill="1" applyBorder="1" applyAlignment="1">
      <alignment horizontal="center" vertical="top" wrapText="1"/>
    </xf>
    <xf numFmtId="0" fontId="3" fillId="2" borderId="13" xfId="0" applyFont="1" applyFill="1" applyBorder="1" applyAlignment="1">
      <alignment horizontal="right" vertical="top" wrapText="1"/>
    </xf>
    <xf numFmtId="8" fontId="0" fillId="2" borderId="13" xfId="0" applyNumberFormat="1" applyFont="1" applyFill="1" applyBorder="1" applyAlignment="1">
      <alignment horizontal="right" vertical="top" wrapText="1"/>
    </xf>
    <xf numFmtId="8" fontId="3" fillId="2" borderId="13" xfId="0" applyNumberFormat="1" applyFont="1" applyFill="1" applyBorder="1" applyAlignment="1">
      <alignment horizontal="right" vertical="top" wrapText="1"/>
    </xf>
    <xf numFmtId="8" fontId="3" fillId="2" borderId="41" xfId="0" applyNumberFormat="1" applyFont="1" applyFill="1" applyBorder="1" applyAlignment="1">
      <alignment horizontal="right" vertical="top" wrapText="1"/>
    </xf>
    <xf numFmtId="8" fontId="3" fillId="0" borderId="41" xfId="0" applyNumberFormat="1" applyFont="1" applyBorder="1" applyAlignment="1">
      <alignment horizontal="right" vertical="top" wrapText="1"/>
    </xf>
    <xf numFmtId="6" fontId="19" fillId="2" borderId="13" xfId="0" applyNumberFormat="1" applyFont="1" applyFill="1" applyBorder="1" applyAlignment="1">
      <alignment horizontal="right" vertical="top" wrapText="1"/>
    </xf>
    <xf numFmtId="6" fontId="18" fillId="2" borderId="41" xfId="0" applyNumberFormat="1" applyFont="1" applyFill="1" applyBorder="1" applyAlignment="1">
      <alignment horizontal="right" vertical="top" wrapText="1"/>
    </xf>
    <xf numFmtId="0" fontId="0" fillId="0" borderId="14" xfId="0" applyBorder="1" applyAlignment="1">
      <alignment vertical="top" wrapText="1"/>
    </xf>
    <xf numFmtId="0" fontId="3" fillId="0" borderId="40" xfId="0" applyFont="1" applyBorder="1" applyAlignment="1">
      <alignment vertical="top" wrapText="1"/>
    </xf>
    <xf numFmtId="0" fontId="0" fillId="0" borderId="19" xfId="0" applyBorder="1" applyAlignment="1">
      <alignment vertical="top" wrapText="1"/>
    </xf>
    <xf numFmtId="0" fontId="2" fillId="5" borderId="14" xfId="0" applyFont="1" applyFill="1" applyBorder="1" applyAlignment="1">
      <alignment horizontal="center" vertical="top" wrapText="1"/>
    </xf>
    <xf numFmtId="0" fontId="20" fillId="5" borderId="13" xfId="0" applyFont="1" applyFill="1" applyBorder="1" applyAlignment="1">
      <alignment horizontal="center" vertical="top" wrapText="1"/>
    </xf>
    <xf numFmtId="0" fontId="3" fillId="2" borderId="0" xfId="0" applyFont="1" applyFill="1" applyBorder="1" applyAlignment="1">
      <alignment horizontal="left" vertical="top" wrapText="1"/>
    </xf>
    <xf numFmtId="0" fontId="3" fillId="2" borderId="0" xfId="0" applyFont="1" applyFill="1" applyBorder="1" applyAlignment="1">
      <alignment horizontal="right" vertical="top" wrapText="1"/>
    </xf>
    <xf numFmtId="0" fontId="0" fillId="0" borderId="33" xfId="0" applyBorder="1" applyAlignment="1">
      <alignment vertical="top" wrapText="1"/>
    </xf>
    <xf numFmtId="0" fontId="3" fillId="0" borderId="33" xfId="0" applyFont="1" applyBorder="1" applyAlignment="1">
      <alignment horizontal="right" vertical="top" wrapText="1"/>
    </xf>
    <xf numFmtId="166" fontId="0" fillId="2" borderId="0" xfId="0" applyNumberFormat="1" applyFont="1" applyFill="1" applyBorder="1" applyAlignment="1">
      <alignment horizontal="right" vertical="top" wrapText="1"/>
    </xf>
    <xf numFmtId="0" fontId="19" fillId="4" borderId="13" xfId="0" applyFont="1" applyFill="1" applyBorder="1" applyAlignment="1">
      <alignment horizontal="right" vertical="top" wrapText="1"/>
    </xf>
    <xf numFmtId="0" fontId="0" fillId="0" borderId="30" xfId="0" applyBorder="1" applyAlignment="1">
      <alignment vertical="top" wrapText="1"/>
    </xf>
    <xf numFmtId="0" fontId="3" fillId="0" borderId="29" xfId="0" applyFont="1" applyBorder="1" applyAlignment="1">
      <alignment vertical="top" wrapText="1"/>
    </xf>
    <xf numFmtId="0" fontId="3" fillId="0" borderId="0" xfId="0" applyFont="1" applyFill="1" applyBorder="1" applyAlignment="1">
      <alignment horizontal="left" vertical="center"/>
    </xf>
    <xf numFmtId="1" fontId="16" fillId="0" borderId="0" xfId="0" applyNumberFormat="1" applyFont="1" applyFill="1" applyBorder="1" applyAlignment="1">
      <alignment vertical="center"/>
    </xf>
    <xf numFmtId="0" fontId="6" fillId="0" borderId="0" xfId="0" applyFont="1" applyBorder="1"/>
    <xf numFmtId="0" fontId="0" fillId="0" borderId="0" xfId="0" applyAlignment="1">
      <alignment wrapText="1"/>
    </xf>
    <xf numFmtId="6" fontId="19" fillId="2" borderId="13" xfId="0" applyNumberFormat="1" applyFont="1" applyFill="1" applyBorder="1" applyAlignment="1" applyProtection="1">
      <alignment horizontal="right" vertical="top" wrapText="1"/>
    </xf>
    <xf numFmtId="6" fontId="18" fillId="2" borderId="13" xfId="0" applyNumberFormat="1" applyFont="1" applyFill="1" applyBorder="1" applyAlignment="1" applyProtection="1">
      <alignment horizontal="right" vertical="top" wrapText="1"/>
    </xf>
    <xf numFmtId="6" fontId="18" fillId="2" borderId="41" xfId="0" applyNumberFormat="1" applyFont="1" applyFill="1" applyBorder="1" applyAlignment="1" applyProtection="1">
      <alignment horizontal="right" vertical="top" wrapText="1"/>
    </xf>
    <xf numFmtId="8" fontId="18" fillId="2" borderId="41" xfId="0" applyNumberFormat="1" applyFont="1" applyFill="1" applyBorder="1" applyAlignment="1" applyProtection="1">
      <alignment horizontal="right" vertical="top" wrapText="1"/>
    </xf>
    <xf numFmtId="6" fontId="18" fillId="0" borderId="13" xfId="0" applyNumberFormat="1" applyFont="1" applyBorder="1" applyAlignment="1" applyProtection="1">
      <alignment horizontal="right" vertical="top" wrapText="1"/>
    </xf>
    <xf numFmtId="8" fontId="19" fillId="0" borderId="13" xfId="0" applyNumberFormat="1" applyFont="1" applyBorder="1" applyAlignment="1" applyProtection="1">
      <alignment horizontal="right" vertical="top" wrapText="1"/>
    </xf>
    <xf numFmtId="6" fontId="17" fillId="0" borderId="17" xfId="0" applyNumberFormat="1" applyFont="1" applyFill="1" applyBorder="1" applyAlignment="1" applyProtection="1">
      <alignment horizontal="right" vertical="top" wrapText="1"/>
    </xf>
    <xf numFmtId="0" fontId="10" fillId="7" borderId="14" xfId="0" applyFont="1" applyFill="1" applyBorder="1" applyAlignment="1" applyProtection="1">
      <alignment vertical="center" wrapText="1"/>
    </xf>
    <xf numFmtId="1" fontId="10" fillId="6" borderId="0" xfId="0" applyNumberFormat="1" applyFont="1" applyFill="1" applyBorder="1" applyAlignment="1" applyProtection="1">
      <alignment horizontal="center" vertical="center" wrapText="1"/>
    </xf>
    <xf numFmtId="1" fontId="10" fillId="6" borderId="13" xfId="0" applyNumberFormat="1" applyFont="1" applyFill="1" applyBorder="1" applyAlignment="1" applyProtection="1">
      <alignment horizontal="center" vertical="center" wrapText="1"/>
    </xf>
    <xf numFmtId="0" fontId="3" fillId="0" borderId="0" xfId="0" applyFont="1" applyAlignment="1" applyProtection="1">
      <alignment horizontal="center"/>
      <protection locked="0"/>
    </xf>
    <xf numFmtId="0" fontId="0" fillId="0" borderId="0" xfId="0" applyAlignment="1" applyProtection="1">
      <alignment horizontal="left" vertical="top" wrapText="1"/>
    </xf>
    <xf numFmtId="0" fontId="0" fillId="0" borderId="0" xfId="0" applyProtection="1"/>
    <xf numFmtId="0" fontId="0" fillId="0" borderId="33" xfId="0" applyBorder="1" applyProtection="1"/>
    <xf numFmtId="0" fontId="0" fillId="0" borderId="34" xfId="0" applyBorder="1" applyAlignment="1" applyProtection="1">
      <alignment horizontal="right"/>
    </xf>
    <xf numFmtId="0" fontId="14" fillId="0" borderId="27" xfId="0" applyFont="1" applyBorder="1" applyAlignment="1" applyProtection="1">
      <alignment horizontal="right"/>
    </xf>
    <xf numFmtId="0" fontId="0" fillId="0" borderId="0" xfId="0" applyAlignment="1" applyProtection="1">
      <alignment horizontal="center" vertical="top"/>
    </xf>
    <xf numFmtId="0" fontId="0" fillId="0" borderId="0" xfId="0" applyBorder="1" applyAlignment="1" applyProtection="1">
      <alignment horizontal="left" vertical="top" wrapText="1"/>
    </xf>
    <xf numFmtId="0" fontId="0" fillId="0" borderId="0" xfId="0" applyBorder="1" applyAlignment="1" applyProtection="1">
      <alignment horizontal="left" vertical="top"/>
    </xf>
    <xf numFmtId="1" fontId="10" fillId="8" borderId="0" xfId="0" applyNumberFormat="1" applyFont="1" applyFill="1" applyBorder="1" applyAlignment="1" applyProtection="1">
      <alignment horizontal="center" vertical="center" wrapText="1"/>
    </xf>
    <xf numFmtId="1" fontId="10" fillId="8" borderId="0" xfId="0" applyNumberFormat="1" applyFont="1" applyFill="1" applyBorder="1" applyAlignment="1" applyProtection="1">
      <alignment horizontal="center" vertical="center"/>
    </xf>
    <xf numFmtId="0" fontId="12" fillId="2" borderId="33" xfId="0" applyFont="1" applyFill="1" applyBorder="1" applyAlignment="1" applyProtection="1">
      <alignment horizontal="center"/>
    </xf>
    <xf numFmtId="165" fontId="13" fillId="0" borderId="33" xfId="2" applyNumberFormat="1" applyFont="1" applyBorder="1" applyAlignment="1" applyProtection="1">
      <alignment horizontal="center"/>
    </xf>
    <xf numFmtId="0" fontId="3" fillId="0" borderId="0" xfId="0" applyFont="1" applyBorder="1" applyAlignment="1" applyProtection="1">
      <alignment horizontal="left"/>
    </xf>
    <xf numFmtId="168" fontId="0" fillId="0" borderId="33" xfId="0" applyNumberFormat="1" applyBorder="1" applyProtection="1"/>
    <xf numFmtId="0" fontId="3" fillId="0" borderId="29" xfId="0" applyFont="1" applyBorder="1" applyAlignment="1">
      <alignment horizontal="right" vertical="top" wrapText="1"/>
    </xf>
    <xf numFmtId="0" fontId="3" fillId="0" borderId="0" xfId="0" applyFont="1" applyFill="1" applyBorder="1" applyAlignment="1">
      <alignment horizontal="right" vertical="top" wrapText="1"/>
    </xf>
    <xf numFmtId="0" fontId="6" fillId="0" borderId="0" xfId="0" applyFont="1" applyAlignment="1">
      <alignment horizontal="left"/>
    </xf>
    <xf numFmtId="0" fontId="7" fillId="9" borderId="46" xfId="0" applyFont="1" applyFill="1" applyBorder="1" applyAlignment="1" applyProtection="1">
      <alignment horizontal="left" vertical="center" wrapText="1" indent="2"/>
      <protection locked="0"/>
    </xf>
    <xf numFmtId="0" fontId="7" fillId="9" borderId="46" xfId="0" applyFont="1" applyFill="1" applyBorder="1" applyAlignment="1" applyProtection="1">
      <alignment horizontal="left" vertical="center" indent="2"/>
      <protection locked="0"/>
    </xf>
    <xf numFmtId="0" fontId="0" fillId="0" borderId="0" xfId="0" applyAlignment="1">
      <alignment horizontal="center" vertical="center"/>
    </xf>
    <xf numFmtId="0" fontId="4" fillId="3" borderId="10" xfId="0" applyFont="1" applyFill="1" applyBorder="1" applyAlignment="1">
      <alignment horizontal="center" vertical="center" wrapText="1"/>
    </xf>
    <xf numFmtId="0" fontId="4" fillId="3" borderId="0" xfId="0" applyFont="1" applyFill="1" applyBorder="1" applyAlignment="1">
      <alignment horizontal="center" vertical="center" wrapText="1"/>
    </xf>
    <xf numFmtId="6" fontId="8" fillId="9" borderId="5" xfId="0" applyNumberFormat="1" applyFont="1" applyFill="1" applyBorder="1" applyAlignment="1" applyProtection="1">
      <alignment horizontal="right" vertical="top" wrapText="1"/>
      <protection locked="0"/>
    </xf>
    <xf numFmtId="9" fontId="8" fillId="9" borderId="5" xfId="0" applyNumberFormat="1" applyFont="1" applyFill="1" applyBorder="1" applyAlignment="1" applyProtection="1">
      <alignment horizontal="right" vertical="top" wrapText="1"/>
      <protection locked="0"/>
    </xf>
    <xf numFmtId="0" fontId="6" fillId="9" borderId="33" xfId="0" applyFont="1" applyFill="1" applyBorder="1" applyAlignment="1" applyProtection="1">
      <alignment horizontal="center" vertical="center"/>
      <protection locked="0"/>
    </xf>
    <xf numFmtId="0" fontId="3" fillId="2" borderId="33" xfId="0" applyFont="1" applyFill="1" applyBorder="1" applyAlignment="1">
      <alignment horizontal="center" vertical="center" wrapText="1"/>
    </xf>
    <xf numFmtId="0" fontId="3" fillId="0" borderId="0" xfId="0" applyFont="1" applyAlignment="1" applyProtection="1">
      <alignment horizontal="left"/>
      <protection locked="0"/>
    </xf>
    <xf numFmtId="0" fontId="6" fillId="10" borderId="45" xfId="0" applyFont="1" applyFill="1" applyBorder="1" applyAlignment="1" applyProtection="1">
      <alignment horizontal="center"/>
      <protection locked="0"/>
    </xf>
    <xf numFmtId="0" fontId="0" fillId="10" borderId="45" xfId="0" applyFill="1" applyBorder="1" applyAlignment="1" applyProtection="1">
      <alignment horizontal="center"/>
      <protection locked="0"/>
    </xf>
    <xf numFmtId="0" fontId="3" fillId="0" borderId="14" xfId="0" applyFont="1" applyFill="1" applyBorder="1" applyAlignment="1">
      <alignment vertical="top" wrapText="1"/>
    </xf>
    <xf numFmtId="0" fontId="0" fillId="0" borderId="14" xfId="0" applyFill="1" applyBorder="1" applyAlignment="1">
      <alignment horizontal="left" vertical="top" wrapText="1" indent="2"/>
    </xf>
    <xf numFmtId="167" fontId="3" fillId="0" borderId="0" xfId="2" applyNumberFormat="1" applyFont="1" applyFill="1" applyBorder="1" applyAlignment="1">
      <alignment horizontal="right" vertical="top" wrapText="1"/>
    </xf>
    <xf numFmtId="166" fontId="3" fillId="0" borderId="0" xfId="1" applyNumberFormat="1" applyFont="1" applyFill="1" applyBorder="1" applyAlignment="1">
      <alignment horizontal="right" vertical="top" wrapText="1"/>
    </xf>
    <xf numFmtId="0" fontId="2" fillId="5" borderId="53" xfId="0" applyFont="1" applyFill="1" applyBorder="1" applyAlignment="1" applyProtection="1">
      <alignment horizontal="center"/>
    </xf>
    <xf numFmtId="0" fontId="2" fillId="5" borderId="54" xfId="0" applyFont="1" applyFill="1" applyBorder="1" applyAlignment="1" applyProtection="1">
      <alignment horizontal="center"/>
    </xf>
    <xf numFmtId="0" fontId="2" fillId="5" borderId="55" xfId="0" applyFont="1" applyFill="1" applyBorder="1" applyAlignment="1" applyProtection="1">
      <alignment horizontal="center"/>
    </xf>
    <xf numFmtId="0" fontId="12" fillId="2" borderId="9" xfId="0" applyFont="1" applyFill="1" applyBorder="1" applyAlignment="1" applyProtection="1">
      <alignment horizontal="center"/>
    </xf>
    <xf numFmtId="1" fontId="12" fillId="2" borderId="8" xfId="0" applyNumberFormat="1" applyFont="1" applyFill="1" applyBorder="1" applyAlignment="1" applyProtection="1">
      <alignment horizontal="center"/>
    </xf>
    <xf numFmtId="1" fontId="12" fillId="2" borderId="7" xfId="0" applyNumberFormat="1" applyFont="1" applyFill="1" applyBorder="1" applyAlignment="1" applyProtection="1">
      <alignment horizontal="center"/>
    </xf>
    <xf numFmtId="0" fontId="0" fillId="0" borderId="60" xfId="0" applyBorder="1" applyAlignment="1" applyProtection="1">
      <alignment horizontal="right"/>
    </xf>
    <xf numFmtId="0" fontId="0" fillId="0" borderId="63" xfId="0" applyBorder="1" applyAlignment="1" applyProtection="1">
      <alignment horizontal="right"/>
    </xf>
    <xf numFmtId="0" fontId="19" fillId="8" borderId="0" xfId="0" applyFont="1" applyFill="1" applyBorder="1" applyAlignment="1" applyProtection="1">
      <alignment horizontal="center" vertical="top" wrapText="1"/>
      <protection locked="0"/>
    </xf>
    <xf numFmtId="0" fontId="19" fillId="8" borderId="13" xfId="0" applyFont="1" applyFill="1" applyBorder="1" applyAlignment="1">
      <alignment horizontal="center" vertical="top" wrapText="1"/>
    </xf>
    <xf numFmtId="0" fontId="0" fillId="0" borderId="34" xfId="0" applyBorder="1" applyAlignment="1">
      <alignment horizontal="left" vertical="top" wrapText="1" indent="2"/>
    </xf>
    <xf numFmtId="0" fontId="0" fillId="0" borderId="34" xfId="0" applyFont="1" applyBorder="1" applyAlignment="1">
      <alignment horizontal="left" vertical="top" wrapText="1" indent="2"/>
    </xf>
    <xf numFmtId="0" fontId="0" fillId="0" borderId="6" xfId="0" applyBorder="1" applyAlignment="1">
      <alignment horizontal="left" vertical="center" wrapText="1" indent="2"/>
    </xf>
    <xf numFmtId="0" fontId="6" fillId="0" borderId="0" xfId="0" applyFont="1" applyAlignment="1">
      <alignment wrapText="1"/>
    </xf>
    <xf numFmtId="0" fontId="14" fillId="0" borderId="70" xfId="0" applyFont="1" applyBorder="1" applyAlignment="1" applyProtection="1">
      <alignment horizontal="right"/>
    </xf>
    <xf numFmtId="0" fontId="3" fillId="4" borderId="33" xfId="0" applyFont="1" applyFill="1" applyBorder="1" applyAlignment="1" applyProtection="1">
      <alignment horizontal="center" vertical="top" wrapText="1"/>
    </xf>
    <xf numFmtId="0" fontId="2" fillId="5" borderId="16" xfId="0" applyFont="1" applyFill="1" applyBorder="1" applyAlignment="1" applyProtection="1">
      <alignment vertical="center" wrapText="1"/>
    </xf>
    <xf numFmtId="0" fontId="2" fillId="5" borderId="10" xfId="0" applyFont="1" applyFill="1" applyBorder="1" applyAlignment="1" applyProtection="1">
      <alignment horizontal="center" vertical="center" wrapText="1"/>
    </xf>
    <xf numFmtId="0" fontId="2" fillId="5" borderId="15" xfId="0" applyFont="1" applyFill="1" applyBorder="1" applyAlignment="1" applyProtection="1">
      <alignment horizontal="center" vertical="center" wrapText="1"/>
    </xf>
    <xf numFmtId="0" fontId="10" fillId="8" borderId="14" xfId="0" applyFont="1" applyFill="1" applyBorder="1" applyAlignment="1" applyProtection="1">
      <alignment vertical="center" wrapText="1"/>
    </xf>
    <xf numFmtId="1" fontId="10" fillId="8" borderId="13" xfId="0" applyNumberFormat="1" applyFont="1" applyFill="1" applyBorder="1" applyAlignment="1" applyProtection="1">
      <alignment horizontal="center" vertical="center" wrapText="1"/>
    </xf>
    <xf numFmtId="0" fontId="4" fillId="0" borderId="78" xfId="0" applyFont="1" applyBorder="1" applyAlignment="1" applyProtection="1">
      <alignment horizontal="left" vertical="center" wrapText="1" indent="1"/>
    </xf>
    <xf numFmtId="0" fontId="22" fillId="3" borderId="6" xfId="0" applyFont="1" applyFill="1" applyBorder="1" applyAlignment="1" applyProtection="1">
      <alignment horizontal="left" vertical="top" wrapText="1" indent="1"/>
    </xf>
    <xf numFmtId="0" fontId="22" fillId="0" borderId="6" xfId="0" applyFont="1" applyFill="1" applyBorder="1" applyAlignment="1" applyProtection="1">
      <alignment horizontal="left" vertical="top" wrapText="1"/>
    </xf>
    <xf numFmtId="0" fontId="2" fillId="5" borderId="13" xfId="0" applyFont="1" applyFill="1" applyBorder="1" applyAlignment="1" applyProtection="1">
      <alignment horizontal="center" vertical="center" wrapText="1"/>
    </xf>
    <xf numFmtId="0" fontId="1" fillId="8" borderId="14" xfId="0" applyFont="1" applyFill="1" applyBorder="1" applyAlignment="1" applyProtection="1">
      <alignment vertical="center"/>
    </xf>
    <xf numFmtId="1" fontId="0" fillId="8" borderId="0" xfId="0" applyNumberFormat="1" applyFill="1" applyBorder="1" applyAlignment="1" applyProtection="1">
      <alignment horizontal="center"/>
    </xf>
    <xf numFmtId="0" fontId="0" fillId="0" borderId="82" xfId="0" applyFont="1" applyFill="1" applyBorder="1" applyAlignment="1" applyProtection="1">
      <alignment vertical="center"/>
    </xf>
    <xf numFmtId="6" fontId="1" fillId="0" borderId="83" xfId="0" applyNumberFormat="1" applyFont="1" applyFill="1" applyBorder="1" applyAlignment="1" applyProtection="1">
      <alignment horizontal="center" vertical="center"/>
    </xf>
    <xf numFmtId="6" fontId="1" fillId="0" borderId="84" xfId="0" applyNumberFormat="1" applyFont="1" applyFill="1" applyBorder="1" applyAlignment="1" applyProtection="1">
      <alignment horizontal="center" vertical="center"/>
    </xf>
    <xf numFmtId="0" fontId="0" fillId="0" borderId="6" xfId="0" applyFont="1" applyFill="1" applyBorder="1" applyAlignment="1" applyProtection="1">
      <alignment vertical="center"/>
    </xf>
    <xf numFmtId="6" fontId="1" fillId="0" borderId="5" xfId="0" applyNumberFormat="1" applyFont="1" applyFill="1" applyBorder="1" applyAlignment="1" applyProtection="1">
      <alignment horizontal="center" vertical="center"/>
    </xf>
    <xf numFmtId="6" fontId="1" fillId="0" borderId="4" xfId="0" applyNumberFormat="1" applyFont="1" applyFill="1" applyBorder="1" applyAlignment="1" applyProtection="1">
      <alignment horizontal="center" vertical="center"/>
    </xf>
    <xf numFmtId="0" fontId="3" fillId="0" borderId="3" xfId="0" applyFont="1" applyFill="1" applyBorder="1" applyAlignment="1" applyProtection="1">
      <alignment vertical="center"/>
    </xf>
    <xf numFmtId="6" fontId="3" fillId="0" borderId="2" xfId="0" applyNumberFormat="1" applyFont="1" applyFill="1" applyBorder="1" applyAlignment="1" applyProtection="1">
      <alignment horizontal="center" vertical="center"/>
    </xf>
    <xf numFmtId="6" fontId="3" fillId="0" borderId="1" xfId="0" applyNumberFormat="1" applyFont="1" applyFill="1" applyBorder="1" applyAlignment="1" applyProtection="1">
      <alignment horizontal="center" vertical="center"/>
    </xf>
    <xf numFmtId="0" fontId="3" fillId="0" borderId="6" xfId="0" applyFont="1" applyFill="1" applyBorder="1" applyAlignment="1" applyProtection="1">
      <alignment vertical="center"/>
    </xf>
    <xf numFmtId="6" fontId="13" fillId="9" borderId="33" xfId="0" applyNumberFormat="1" applyFont="1" applyFill="1" applyBorder="1" applyAlignment="1" applyProtection="1">
      <alignment horizontal="right" vertical="top" wrapText="1"/>
      <protection locked="0"/>
    </xf>
    <xf numFmtId="9" fontId="13" fillId="9" borderId="33" xfId="3" applyNumberFormat="1" applyFont="1" applyFill="1" applyBorder="1" applyAlignment="1" applyProtection="1">
      <alignment horizontal="right" vertical="top" wrapText="1"/>
      <protection locked="0"/>
    </xf>
    <xf numFmtId="167" fontId="13" fillId="9" borderId="33" xfId="2" applyNumberFormat="1" applyFont="1" applyFill="1" applyBorder="1" applyAlignment="1" applyProtection="1">
      <alignment horizontal="right" vertical="top" wrapText="1"/>
      <protection locked="0"/>
    </xf>
    <xf numFmtId="166" fontId="13" fillId="9" borderId="33" xfId="1" applyNumberFormat="1" applyFont="1" applyFill="1" applyBorder="1" applyAlignment="1" applyProtection="1">
      <alignment horizontal="left" vertical="top" wrapText="1"/>
      <protection locked="0"/>
    </xf>
    <xf numFmtId="7" fontId="13" fillId="9" borderId="33" xfId="2" applyNumberFormat="1" applyFont="1" applyFill="1" applyBorder="1" applyAlignment="1" applyProtection="1">
      <alignment horizontal="right" vertical="top" wrapText="1"/>
      <protection locked="0"/>
    </xf>
    <xf numFmtId="6" fontId="8" fillId="9" borderId="33" xfId="0" applyNumberFormat="1" applyFont="1" applyFill="1" applyBorder="1" applyAlignment="1" applyProtection="1">
      <alignment horizontal="right" vertical="top" wrapText="1"/>
      <protection locked="0"/>
    </xf>
    <xf numFmtId="6" fontId="8" fillId="9" borderId="38" xfId="0" applyNumberFormat="1" applyFont="1" applyFill="1" applyBorder="1" applyAlignment="1" applyProtection="1">
      <alignment horizontal="right" vertical="top" wrapText="1"/>
      <protection locked="0"/>
    </xf>
    <xf numFmtId="9" fontId="13" fillId="9" borderId="38" xfId="3" applyFont="1" applyFill="1" applyBorder="1" applyAlignment="1" applyProtection="1">
      <alignment horizontal="right" vertical="top" wrapText="1"/>
      <protection locked="0"/>
    </xf>
    <xf numFmtId="0" fontId="6" fillId="0" borderId="0" xfId="0" applyFont="1" applyAlignment="1">
      <alignment horizontal="left" wrapText="1"/>
    </xf>
    <xf numFmtId="0" fontId="6" fillId="0" borderId="0" xfId="0" applyFont="1" applyAlignment="1">
      <alignment horizontal="left" vertical="top" wrapText="1"/>
    </xf>
    <xf numFmtId="0" fontId="6" fillId="0" borderId="0" xfId="0" applyFont="1" applyAlignment="1">
      <alignment horizontal="left" wrapText="1"/>
    </xf>
    <xf numFmtId="0" fontId="2" fillId="5" borderId="15" xfId="0" applyFont="1" applyFill="1" applyBorder="1" applyAlignment="1">
      <alignment horizontal="center" vertical="center" wrapText="1"/>
    </xf>
    <xf numFmtId="9" fontId="5" fillId="2" borderId="4" xfId="3" applyFont="1" applyFill="1" applyBorder="1" applyAlignment="1" applyProtection="1">
      <alignment horizontal="center" vertical="center" wrapText="1"/>
    </xf>
    <xf numFmtId="9" fontId="6" fillId="2" borderId="4" xfId="3" applyFont="1" applyFill="1" applyBorder="1" applyAlignment="1" applyProtection="1">
      <alignment horizontal="center" vertical="center" wrapText="1"/>
    </xf>
    <xf numFmtId="1" fontId="0" fillId="0" borderId="0" xfId="0" applyNumberFormat="1"/>
    <xf numFmtId="164" fontId="0" fillId="0" borderId="0" xfId="0" applyNumberFormat="1"/>
    <xf numFmtId="0" fontId="6" fillId="0" borderId="0" xfId="0" applyFont="1" applyBorder="1" applyAlignment="1">
      <alignment horizontal="right" vertical="center"/>
    </xf>
    <xf numFmtId="0" fontId="3" fillId="0" borderId="0" xfId="0" applyFont="1" applyAlignment="1">
      <alignment horizontal="left"/>
    </xf>
    <xf numFmtId="0" fontId="0" fillId="0" borderId="0" xfId="0" applyFont="1" applyProtection="1"/>
    <xf numFmtId="0" fontId="0" fillId="0" borderId="0" xfId="0" applyAlignment="1" applyProtection="1">
      <alignment horizontal="left" wrapText="1"/>
    </xf>
    <xf numFmtId="0" fontId="0" fillId="0" borderId="0" xfId="0" applyAlignment="1" applyProtection="1">
      <alignment wrapText="1"/>
    </xf>
    <xf numFmtId="165" fontId="0" fillId="11" borderId="33" xfId="2" applyNumberFormat="1" applyFont="1" applyFill="1" applyBorder="1" applyProtection="1"/>
    <xf numFmtId="169" fontId="0" fillId="11" borderId="33" xfId="1" applyNumberFormat="1" applyFont="1" applyFill="1" applyBorder="1" applyProtection="1"/>
    <xf numFmtId="165" fontId="0" fillId="11" borderId="33" xfId="0" applyNumberFormat="1" applyFill="1" applyBorder="1" applyProtection="1"/>
    <xf numFmtId="0" fontId="0" fillId="11" borderId="66" xfId="0" applyFill="1" applyBorder="1" applyProtection="1"/>
    <xf numFmtId="0" fontId="0" fillId="11" borderId="32" xfId="0" applyFill="1" applyBorder="1" applyProtection="1"/>
    <xf numFmtId="0" fontId="0" fillId="11" borderId="51" xfId="0" applyFill="1" applyBorder="1" applyProtection="1"/>
    <xf numFmtId="165" fontId="0" fillId="11" borderId="31" xfId="0" applyNumberFormat="1" applyFill="1" applyBorder="1" applyProtection="1"/>
    <xf numFmtId="165" fontId="0" fillId="11" borderId="47" xfId="0" applyNumberFormat="1" applyFill="1" applyBorder="1" applyProtection="1"/>
    <xf numFmtId="165" fontId="0" fillId="11" borderId="65" xfId="0" applyNumberFormat="1" applyFill="1" applyBorder="1" applyProtection="1"/>
    <xf numFmtId="165" fontId="0" fillId="11" borderId="72" xfId="0" applyNumberFormat="1" applyFill="1" applyBorder="1" applyProtection="1"/>
    <xf numFmtId="165" fontId="3" fillId="11" borderId="71" xfId="0" applyNumberFormat="1" applyFont="1" applyFill="1" applyBorder="1" applyProtection="1"/>
    <xf numFmtId="165" fontId="3" fillId="11" borderId="73" xfId="0" applyNumberFormat="1" applyFont="1" applyFill="1" applyBorder="1" applyProtection="1"/>
    <xf numFmtId="0" fontId="14" fillId="0" borderId="88" xfId="0" applyFont="1" applyBorder="1" applyAlignment="1" applyProtection="1">
      <alignment horizontal="right"/>
    </xf>
    <xf numFmtId="165" fontId="0" fillId="11" borderId="61" xfId="0" applyNumberFormat="1" applyFill="1" applyBorder="1" applyAlignment="1" applyProtection="1">
      <alignment horizontal="center"/>
    </xf>
    <xf numFmtId="165" fontId="0" fillId="11" borderId="61" xfId="0" applyNumberFormat="1" applyFont="1" applyFill="1" applyBorder="1" applyProtection="1"/>
    <xf numFmtId="165" fontId="0" fillId="11" borderId="62" xfId="0" applyNumberFormat="1" applyFont="1" applyFill="1" applyBorder="1" applyProtection="1"/>
    <xf numFmtId="0" fontId="0" fillId="11" borderId="29" xfId="0" applyFill="1" applyBorder="1" applyAlignment="1" applyProtection="1">
      <alignment horizontal="center"/>
    </xf>
    <xf numFmtId="165" fontId="0" fillId="11" borderId="28" xfId="0" applyNumberFormat="1" applyFont="1" applyFill="1" applyBorder="1" applyProtection="1"/>
    <xf numFmtId="165" fontId="0" fillId="11" borderId="51" xfId="0" applyNumberFormat="1" applyFont="1" applyFill="1" applyBorder="1" applyProtection="1"/>
    <xf numFmtId="165" fontId="0" fillId="11" borderId="26" xfId="0" applyNumberFormat="1" applyFill="1" applyBorder="1" applyProtection="1"/>
    <xf numFmtId="165" fontId="3" fillId="11" borderId="26" xfId="0" applyNumberFormat="1" applyFont="1" applyFill="1" applyBorder="1" applyProtection="1"/>
    <xf numFmtId="165" fontId="3" fillId="11" borderId="52" xfId="0" applyNumberFormat="1" applyFont="1" applyFill="1" applyBorder="1" applyProtection="1"/>
    <xf numFmtId="0" fontId="2" fillId="5" borderId="14" xfId="0" applyFont="1" applyFill="1" applyBorder="1" applyAlignment="1" applyProtection="1">
      <alignment horizontal="center"/>
    </xf>
    <xf numFmtId="0" fontId="2" fillId="5" borderId="0" xfId="0" applyFont="1" applyFill="1" applyBorder="1" applyAlignment="1" applyProtection="1">
      <alignment horizontal="center"/>
    </xf>
    <xf numFmtId="0" fontId="2" fillId="5" borderId="13" xfId="0" applyFont="1" applyFill="1" applyBorder="1" applyAlignment="1" applyProtection="1">
      <alignment horizontal="center"/>
    </xf>
    <xf numFmtId="0" fontId="6" fillId="0" borderId="34" xfId="0" applyFont="1" applyBorder="1" applyAlignment="1" applyProtection="1">
      <alignment horizontal="right"/>
    </xf>
    <xf numFmtId="0" fontId="2" fillId="5" borderId="14" xfId="0" applyFont="1" applyFill="1" applyBorder="1" applyAlignment="1">
      <alignment vertical="center" wrapText="1"/>
    </xf>
    <xf numFmtId="0" fontId="2" fillId="5" borderId="0"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14" fillId="0" borderId="34" xfId="0" applyFont="1" applyBorder="1" applyAlignment="1" applyProtection="1">
      <alignment horizontal="right"/>
    </xf>
    <xf numFmtId="3" fontId="12" fillId="2" borderId="91" xfId="0" applyNumberFormat="1" applyFont="1" applyFill="1" applyBorder="1" applyAlignment="1">
      <alignment horizontal="center" vertical="center" wrapText="1"/>
    </xf>
    <xf numFmtId="164" fontId="3" fillId="2" borderId="91" xfId="0" applyNumberFormat="1" applyFont="1" applyFill="1" applyBorder="1" applyAlignment="1">
      <alignment horizontal="center" vertical="center" wrapText="1"/>
    </xf>
    <xf numFmtId="0" fontId="8" fillId="0" borderId="92" xfId="0" applyFont="1" applyBorder="1" applyAlignment="1">
      <alignment horizontal="left" vertical="center" wrapText="1" indent="2"/>
    </xf>
    <xf numFmtId="0" fontId="7" fillId="9" borderId="93" xfId="0" applyFont="1" applyFill="1" applyBorder="1" applyAlignment="1" applyProtection="1">
      <alignment horizontal="left" vertical="center" wrapText="1" indent="2"/>
      <protection locked="0"/>
    </xf>
    <xf numFmtId="1" fontId="3" fillId="2" borderId="94" xfId="0" applyNumberFormat="1" applyFont="1" applyFill="1" applyBorder="1" applyAlignment="1">
      <alignment horizontal="center" vertical="center" wrapText="1"/>
    </xf>
    <xf numFmtId="1" fontId="3" fillId="2" borderId="96" xfId="0" applyNumberFormat="1" applyFont="1" applyFill="1" applyBorder="1" applyAlignment="1" applyProtection="1">
      <alignment horizontal="center" vertical="center" wrapText="1"/>
    </xf>
    <xf numFmtId="1" fontId="7" fillId="9" borderId="74" xfId="0" applyNumberFormat="1" applyFont="1" applyFill="1" applyBorder="1" applyAlignment="1" applyProtection="1">
      <alignment horizontal="left" vertical="center" wrapText="1" indent="2"/>
      <protection locked="0"/>
    </xf>
    <xf numFmtId="0" fontId="28" fillId="0" borderId="100" xfId="0" applyFont="1" applyBorder="1" applyAlignment="1">
      <alignment horizontal="center" vertical="center" wrapText="1"/>
    </xf>
    <xf numFmtId="0" fontId="0" fillId="2" borderId="95" xfId="0" applyFont="1" applyFill="1" applyBorder="1" applyAlignment="1">
      <alignment horizontal="center" vertical="center" wrapText="1"/>
    </xf>
    <xf numFmtId="0" fontId="28" fillId="0" borderId="103" xfId="0" applyFont="1" applyBorder="1" applyAlignment="1">
      <alignment horizontal="center" vertical="center" wrapText="1"/>
    </xf>
    <xf numFmtId="6" fontId="0" fillId="0" borderId="33" xfId="0" applyNumberFormat="1" applyBorder="1"/>
    <xf numFmtId="43" fontId="0" fillId="0" borderId="33" xfId="1" applyFont="1" applyBorder="1"/>
    <xf numFmtId="0" fontId="3" fillId="2" borderId="33" xfId="0" applyFont="1" applyFill="1" applyBorder="1" applyAlignment="1" applyProtection="1">
      <alignment horizontal="center" vertical="top" wrapText="1"/>
    </xf>
    <xf numFmtId="0" fontId="0" fillId="2" borderId="33" xfId="0" applyFill="1" applyBorder="1" applyAlignment="1" applyProtection="1">
      <alignment horizontal="left" vertical="top" wrapText="1"/>
    </xf>
    <xf numFmtId="0" fontId="6" fillId="0" borderId="0" xfId="0" applyFont="1" applyAlignment="1">
      <alignment vertical="top" wrapText="1"/>
    </xf>
    <xf numFmtId="0" fontId="6" fillId="0" borderId="0" xfId="0" applyFont="1" applyFill="1" applyBorder="1" applyAlignment="1" applyProtection="1">
      <alignment horizontal="center" vertical="center"/>
      <protection locked="0"/>
    </xf>
    <xf numFmtId="0" fontId="0" fillId="0" borderId="0" xfId="0" applyFill="1" applyBorder="1" applyAlignment="1" applyProtection="1">
      <alignment horizontal="left" vertical="top" wrapText="1"/>
    </xf>
    <xf numFmtId="1" fontId="0" fillId="0" borderId="0" xfId="0" applyNumberFormat="1" applyFill="1" applyBorder="1" applyAlignment="1" applyProtection="1">
      <alignment horizontal="center" vertical="top"/>
    </xf>
    <xf numFmtId="0" fontId="0" fillId="0" borderId="0" xfId="0" applyFill="1" applyBorder="1" applyAlignment="1" applyProtection="1">
      <alignment horizontal="center" vertical="top"/>
      <protection locked="0"/>
    </xf>
    <xf numFmtId="0" fontId="0" fillId="2" borderId="31" xfId="0" applyFill="1" applyBorder="1" applyAlignment="1" applyProtection="1">
      <alignment horizontal="left" vertical="top" wrapText="1"/>
    </xf>
    <xf numFmtId="0" fontId="6" fillId="11" borderId="33" xfId="0" applyFont="1" applyFill="1" applyBorder="1" applyAlignment="1" applyProtection="1">
      <alignment horizontal="center" vertical="top"/>
    </xf>
    <xf numFmtId="0" fontId="6" fillId="9" borderId="33" xfId="0" applyFont="1" applyFill="1" applyBorder="1" applyAlignment="1" applyProtection="1">
      <alignment horizontal="center" vertical="top"/>
      <protection locked="0"/>
    </xf>
    <xf numFmtId="1" fontId="0" fillId="2" borderId="33" xfId="0" applyNumberFormat="1" applyFont="1" applyFill="1" applyBorder="1" applyAlignment="1" applyProtection="1">
      <alignment horizontal="center" vertical="top"/>
    </xf>
    <xf numFmtId="1" fontId="0" fillId="11" borderId="33" xfId="0" applyNumberFormat="1" applyFont="1" applyFill="1" applyBorder="1" applyAlignment="1" applyProtection="1">
      <alignment horizontal="center" vertical="top"/>
    </xf>
    <xf numFmtId="165" fontId="0" fillId="9" borderId="33" xfId="2" applyNumberFormat="1" applyFont="1" applyFill="1" applyBorder="1" applyProtection="1">
      <protection locked="0"/>
    </xf>
    <xf numFmtId="0" fontId="6" fillId="2" borderId="33" xfId="0" applyFont="1" applyFill="1" applyBorder="1" applyAlignment="1" applyProtection="1">
      <alignment horizontal="center" vertical="top"/>
    </xf>
    <xf numFmtId="0" fontId="6" fillId="0" borderId="0" xfId="0" applyFont="1" applyAlignment="1">
      <alignment horizontal="right"/>
    </xf>
    <xf numFmtId="9" fontId="8" fillId="11" borderId="5" xfId="0" applyNumberFormat="1" applyFont="1" applyFill="1" applyBorder="1" applyAlignment="1" applyProtection="1">
      <alignment horizontal="right" vertical="top" wrapText="1"/>
    </xf>
    <xf numFmtId="0" fontId="4" fillId="0" borderId="20" xfId="0" applyFont="1" applyBorder="1" applyAlignment="1" applyProtection="1">
      <alignment vertical="center" wrapText="1"/>
    </xf>
    <xf numFmtId="0" fontId="2" fillId="5" borderId="0" xfId="0" applyFont="1" applyFill="1" applyBorder="1" applyAlignment="1">
      <alignment vertical="center" wrapText="1"/>
    </xf>
    <xf numFmtId="0" fontId="2" fillId="5" borderId="13" xfId="0" applyFont="1" applyFill="1" applyBorder="1" applyAlignment="1">
      <alignment vertical="center" wrapText="1"/>
    </xf>
    <xf numFmtId="0" fontId="10" fillId="7" borderId="0" xfId="0" applyFont="1" applyFill="1" applyBorder="1" applyAlignment="1" applyProtection="1">
      <alignment vertical="center" wrapText="1"/>
    </xf>
    <xf numFmtId="0" fontId="0" fillId="0" borderId="66" xfId="0" applyBorder="1"/>
    <xf numFmtId="0" fontId="15" fillId="0" borderId="21" xfId="0" applyFont="1" applyBorder="1" applyAlignment="1" applyProtection="1">
      <alignment vertical="center" wrapText="1"/>
    </xf>
    <xf numFmtId="0" fontId="4" fillId="0" borderId="24" xfId="0" applyFont="1" applyBorder="1" applyAlignment="1" applyProtection="1">
      <alignment vertical="center" wrapText="1"/>
    </xf>
    <xf numFmtId="0" fontId="4" fillId="0" borderId="23" xfId="0" applyFont="1" applyBorder="1" applyAlignment="1" applyProtection="1">
      <alignment vertical="center" wrapText="1"/>
    </xf>
    <xf numFmtId="0" fontId="4" fillId="0" borderId="22" xfId="0" applyFont="1" applyBorder="1" applyAlignment="1" applyProtection="1">
      <alignment vertical="center" wrapText="1"/>
    </xf>
    <xf numFmtId="0" fontId="4" fillId="0" borderId="0" xfId="0" applyFont="1" applyBorder="1" applyAlignment="1" applyProtection="1">
      <alignment vertical="center" wrapText="1"/>
    </xf>
    <xf numFmtId="0" fontId="4" fillId="0" borderId="13" xfId="0" applyFont="1" applyBorder="1" applyAlignment="1" applyProtection="1">
      <alignment vertical="center" wrapText="1"/>
    </xf>
    <xf numFmtId="1" fontId="0" fillId="2" borderId="33" xfId="0" applyNumberFormat="1" applyFill="1" applyBorder="1" applyAlignment="1" applyProtection="1">
      <alignment horizontal="center"/>
    </xf>
    <xf numFmtId="1" fontId="3" fillId="2" borderId="33" xfId="0" applyNumberFormat="1" applyFont="1" applyFill="1" applyBorder="1" applyAlignment="1" applyProtection="1">
      <alignment horizontal="center"/>
    </xf>
    <xf numFmtId="9" fontId="3" fillId="2" borderId="33" xfId="3" applyFont="1" applyFill="1" applyBorder="1" applyAlignment="1" applyProtection="1">
      <alignment horizontal="center"/>
    </xf>
    <xf numFmtId="9" fontId="1" fillId="11" borderId="33" xfId="3" applyFont="1" applyFill="1" applyBorder="1" applyAlignment="1" applyProtection="1">
      <alignment horizontal="center"/>
    </xf>
    <xf numFmtId="9" fontId="10" fillId="0" borderId="33" xfId="3" applyFont="1" applyFill="1" applyBorder="1" applyAlignment="1" applyProtection="1">
      <alignment horizontal="center" vertical="center" wrapText="1"/>
    </xf>
    <xf numFmtId="0" fontId="14" fillId="0" borderId="33" xfId="0" applyFont="1" applyBorder="1" applyAlignment="1" applyProtection="1"/>
    <xf numFmtId="1" fontId="10" fillId="8" borderId="108" xfId="3" applyNumberFormat="1" applyFont="1" applyFill="1" applyBorder="1" applyAlignment="1" applyProtection="1">
      <alignment horizontal="center" vertical="center" wrapText="1"/>
    </xf>
    <xf numFmtId="1" fontId="10" fillId="8" borderId="109" xfId="0" applyNumberFormat="1" applyFont="1" applyFill="1" applyBorder="1" applyAlignment="1" applyProtection="1">
      <alignment horizontal="center" vertical="center" wrapText="1"/>
    </xf>
    <xf numFmtId="0" fontId="5" fillId="0" borderId="104" xfId="0" applyFont="1" applyFill="1" applyBorder="1" applyAlignment="1" applyProtection="1">
      <alignment vertical="top" wrapText="1"/>
    </xf>
    <xf numFmtId="1" fontId="4" fillId="2" borderId="107" xfId="0" applyNumberFormat="1" applyFont="1" applyFill="1" applyBorder="1" applyAlignment="1" applyProtection="1">
      <alignment horizontal="center" vertical="center" wrapText="1"/>
    </xf>
    <xf numFmtId="1" fontId="10" fillId="2" borderId="107" xfId="0" applyNumberFormat="1" applyFont="1" applyFill="1" applyBorder="1" applyAlignment="1" applyProtection="1">
      <alignment horizontal="center" vertical="center" wrapText="1"/>
    </xf>
    <xf numFmtId="3" fontId="10" fillId="2" borderId="107" xfId="0" applyNumberFormat="1" applyFont="1" applyFill="1" applyBorder="1" applyAlignment="1" applyProtection="1">
      <alignment horizontal="center" vertical="center" wrapText="1"/>
    </xf>
    <xf numFmtId="3" fontId="4" fillId="2" borderId="107" xfId="0" applyNumberFormat="1" applyFont="1" applyFill="1" applyBorder="1" applyAlignment="1" applyProtection="1">
      <alignment horizontal="center" vertical="center" wrapText="1"/>
    </xf>
    <xf numFmtId="1" fontId="10" fillId="2" borderId="107" xfId="3" applyNumberFormat="1" applyFont="1" applyFill="1" applyBorder="1" applyAlignment="1" applyProtection="1">
      <alignment horizontal="center" vertical="center" wrapText="1"/>
    </xf>
    <xf numFmtId="0" fontId="5" fillId="0" borderId="104" xfId="0" applyFont="1" applyFill="1" applyBorder="1" applyAlignment="1" applyProtection="1">
      <alignment vertical="center" wrapText="1"/>
    </xf>
    <xf numFmtId="0" fontId="5" fillId="0" borderId="110" xfId="0" applyFont="1" applyFill="1" applyBorder="1" applyAlignment="1" applyProtection="1">
      <alignment vertical="center" wrapText="1"/>
    </xf>
    <xf numFmtId="0" fontId="0" fillId="0" borderId="0" xfId="0" applyAlignment="1">
      <alignment horizontal="left"/>
    </xf>
    <xf numFmtId="0" fontId="30" fillId="0" borderId="0" xfId="0" applyFont="1"/>
    <xf numFmtId="0" fontId="3" fillId="2" borderId="33" xfId="0" applyFont="1" applyFill="1" applyBorder="1" applyAlignment="1">
      <alignment horizontal="center" vertical="top" wrapText="1"/>
    </xf>
    <xf numFmtId="0" fontId="0" fillId="0" borderId="0" xfId="0" applyAlignment="1">
      <alignment horizontal="center" vertical="top"/>
    </xf>
    <xf numFmtId="0" fontId="0" fillId="0" borderId="0" xfId="0" applyBorder="1" applyAlignment="1">
      <alignment horizontal="center" vertical="top"/>
    </xf>
    <xf numFmtId="0" fontId="0" fillId="0" borderId="0" xfId="0" applyBorder="1"/>
    <xf numFmtId="0" fontId="31" fillId="0" borderId="0" xfId="0" applyFont="1" applyBorder="1" applyAlignment="1">
      <alignment horizontal="center" vertical="top"/>
    </xf>
    <xf numFmtId="0" fontId="32" fillId="0" borderId="0" xfId="0" applyFont="1" applyBorder="1" applyAlignment="1">
      <alignment horizontal="center" vertical="top"/>
    </xf>
    <xf numFmtId="0" fontId="33" fillId="0" borderId="0" xfId="0" applyFont="1" applyBorder="1" applyAlignment="1">
      <alignment horizontal="center" vertical="top" wrapText="1"/>
    </xf>
    <xf numFmtId="0" fontId="28" fillId="0" borderId="0" xfId="0" applyFont="1" applyFill="1" applyBorder="1" applyAlignment="1">
      <alignment horizontal="left" vertical="top" wrapText="1"/>
    </xf>
    <xf numFmtId="166" fontId="13" fillId="11" borderId="33" xfId="0" applyNumberFormat="1" applyFont="1" applyFill="1" applyBorder="1" applyAlignment="1">
      <alignment horizontal="right" vertical="top" wrapText="1"/>
    </xf>
    <xf numFmtId="0" fontId="12" fillId="2" borderId="33" xfId="0" applyFont="1" applyFill="1" applyBorder="1" applyAlignment="1" applyProtection="1">
      <alignment horizontal="center" vertical="center" wrapText="1"/>
    </xf>
    <xf numFmtId="0" fontId="3" fillId="4" borderId="33" xfId="0" applyFont="1" applyFill="1" applyBorder="1" applyAlignment="1" applyProtection="1">
      <alignment horizontal="center" vertical="center" wrapText="1"/>
    </xf>
    <xf numFmtId="0" fontId="0" fillId="0" borderId="0" xfId="0" applyBorder="1" applyAlignment="1" applyProtection="1">
      <alignment horizontal="left" wrapText="1"/>
    </xf>
    <xf numFmtId="0" fontId="3" fillId="0" borderId="0" xfId="0" applyFont="1" applyFill="1" applyBorder="1" applyProtection="1"/>
    <xf numFmtId="0" fontId="0" fillId="0" borderId="33" xfId="0" applyBorder="1" applyAlignment="1">
      <alignment horizontal="left" vertical="top" wrapText="1" indent="2"/>
    </xf>
    <xf numFmtId="0" fontId="2" fillId="5" borderId="85" xfId="0" applyFont="1" applyFill="1" applyBorder="1" applyAlignment="1">
      <alignment horizontal="center" vertical="top"/>
    </xf>
    <xf numFmtId="0" fontId="2" fillId="5" borderId="86" xfId="0" applyFont="1" applyFill="1" applyBorder="1" applyAlignment="1">
      <alignment horizontal="center" vertical="top"/>
    </xf>
    <xf numFmtId="0" fontId="2" fillId="5" borderId="87" xfId="0" applyFont="1" applyFill="1" applyBorder="1" applyAlignment="1">
      <alignment horizontal="center" vertical="top" wrapText="1"/>
    </xf>
    <xf numFmtId="0" fontId="9" fillId="0" borderId="4" xfId="4" applyBorder="1" applyAlignment="1">
      <alignment horizontal="left" vertical="top" wrapText="1"/>
    </xf>
    <xf numFmtId="0" fontId="0" fillId="0" borderId="4" xfId="0" applyBorder="1" applyAlignment="1">
      <alignment horizontal="left" vertical="top" wrapText="1"/>
    </xf>
    <xf numFmtId="0" fontId="9" fillId="0" borderId="1" xfId="4" applyBorder="1" applyAlignment="1">
      <alignment horizontal="left" vertical="top" wrapText="1"/>
    </xf>
    <xf numFmtId="0" fontId="0" fillId="0" borderId="0" xfId="0" applyAlignment="1" applyProtection="1">
      <alignment vertical="top" wrapText="1"/>
    </xf>
    <xf numFmtId="0" fontId="26" fillId="0" borderId="101" xfId="0" applyFont="1" applyBorder="1" applyAlignment="1">
      <alignment horizontal="center" vertical="center" wrapText="1"/>
    </xf>
    <xf numFmtId="164" fontId="13" fillId="2" borderId="102" xfId="0" applyNumberFormat="1" applyFont="1" applyFill="1" applyBorder="1" applyAlignment="1">
      <alignment horizontal="center" vertical="center" wrapText="1"/>
    </xf>
    <xf numFmtId="0" fontId="40" fillId="0" borderId="0" xfId="0" applyFont="1"/>
    <xf numFmtId="0" fontId="3" fillId="0" borderId="0" xfId="0" applyFont="1" applyBorder="1" applyAlignment="1">
      <alignment horizontal="center" vertical="top"/>
    </xf>
    <xf numFmtId="0" fontId="3" fillId="0" borderId="0" xfId="0" applyFont="1" applyBorder="1"/>
    <xf numFmtId="170" fontId="13" fillId="9" borderId="33" xfId="1" applyNumberFormat="1" applyFont="1" applyFill="1" applyBorder="1" applyAlignment="1" applyProtection="1">
      <alignment horizontal="left" vertical="top" wrapText="1"/>
      <protection locked="0"/>
    </xf>
    <xf numFmtId="9" fontId="1" fillId="0" borderId="33" xfId="3" applyFont="1" applyFill="1" applyBorder="1" applyAlignment="1" applyProtection="1">
      <alignment horizontal="center" vertical="top"/>
      <protection hidden="1"/>
    </xf>
    <xf numFmtId="0" fontId="0" fillId="0" borderId="33" xfId="0" applyFont="1" applyFill="1" applyBorder="1" applyAlignment="1">
      <alignment vertical="center" wrapText="1"/>
    </xf>
    <xf numFmtId="0" fontId="0" fillId="0" borderId="33" xfId="0" applyFont="1" applyFill="1" applyBorder="1" applyAlignment="1">
      <alignment vertical="center"/>
    </xf>
    <xf numFmtId="0" fontId="0" fillId="0" borderId="33" xfId="0" applyFont="1" applyFill="1" applyBorder="1" applyAlignment="1" applyProtection="1">
      <alignment horizontal="right" vertical="center"/>
      <protection hidden="1"/>
    </xf>
    <xf numFmtId="0" fontId="3" fillId="0" borderId="0" xfId="0" applyFont="1" applyBorder="1" applyAlignment="1">
      <alignment vertical="center"/>
    </xf>
    <xf numFmtId="0" fontId="0" fillId="0" borderId="33" xfId="0" applyFont="1" applyBorder="1" applyProtection="1"/>
    <xf numFmtId="1" fontId="6" fillId="2" borderId="31" xfId="0" applyNumberFormat="1" applyFont="1" applyFill="1" applyBorder="1" applyAlignment="1" applyProtection="1">
      <alignment horizontal="center" vertical="center"/>
    </xf>
    <xf numFmtId="1" fontId="6" fillId="2" borderId="33" xfId="0" applyNumberFormat="1" applyFont="1" applyFill="1" applyBorder="1" applyAlignment="1" applyProtection="1">
      <alignment horizontal="center" vertical="center"/>
    </xf>
    <xf numFmtId="9" fontId="19" fillId="9" borderId="0" xfId="0" applyNumberFormat="1" applyFont="1" applyFill="1" applyBorder="1" applyAlignment="1" applyProtection="1">
      <alignment horizontal="right" vertical="center" wrapText="1"/>
      <protection locked="0"/>
    </xf>
    <xf numFmtId="1" fontId="6" fillId="2" borderId="33" xfId="0" applyNumberFormat="1" applyFont="1" applyFill="1" applyBorder="1" applyAlignment="1" applyProtection="1">
      <alignment horizontal="center" vertical="top"/>
    </xf>
    <xf numFmtId="170" fontId="13" fillId="2" borderId="33" xfId="1" applyNumberFormat="1" applyFont="1" applyFill="1" applyBorder="1" applyAlignment="1" applyProtection="1">
      <alignment horizontal="left" vertical="top" wrapText="1"/>
    </xf>
    <xf numFmtId="0" fontId="7" fillId="9" borderId="46" xfId="0" applyFont="1" applyFill="1" applyBorder="1" applyAlignment="1" applyProtection="1">
      <alignment horizontal="center" vertical="center" wrapText="1"/>
      <protection locked="0"/>
    </xf>
    <xf numFmtId="0" fontId="0" fillId="0" borderId="0" xfId="0" applyAlignment="1">
      <alignment horizontal="left" vertical="top" wrapText="1"/>
    </xf>
    <xf numFmtId="0" fontId="0" fillId="0" borderId="0" xfId="0" applyAlignment="1">
      <alignment vertical="center"/>
    </xf>
    <xf numFmtId="0" fontId="9" fillId="0" borderId="0" xfId="4" applyAlignment="1">
      <alignment vertical="center"/>
    </xf>
    <xf numFmtId="0" fontId="9" fillId="0" borderId="0" xfId="4"/>
    <xf numFmtId="0" fontId="11" fillId="0" borderId="0" xfId="0" applyFont="1" applyAlignment="1">
      <alignment vertical="center"/>
    </xf>
    <xf numFmtId="0" fontId="0" fillId="0" borderId="0" xfId="0" applyFill="1"/>
    <xf numFmtId="0" fontId="0" fillId="0" borderId="0" xfId="0" applyFont="1" applyFill="1" applyAlignment="1">
      <alignment horizontal="left" indent="2"/>
    </xf>
    <xf numFmtId="0" fontId="0" fillId="0" borderId="0" xfId="0" applyFont="1" applyFill="1" applyBorder="1" applyAlignment="1" applyProtection="1">
      <alignment horizontal="right" vertical="center"/>
      <protection hidden="1"/>
    </xf>
    <xf numFmtId="9" fontId="1" fillId="0" borderId="0" xfId="3" applyFont="1" applyFill="1" applyBorder="1" applyAlignment="1" applyProtection="1">
      <alignment horizontal="center" vertical="top"/>
      <protection hidden="1"/>
    </xf>
    <xf numFmtId="0" fontId="6" fillId="0" borderId="0" xfId="0" applyFont="1" applyFill="1" applyBorder="1" applyAlignment="1" applyProtection="1">
      <alignment horizontal="center" vertical="top"/>
      <protection hidden="1"/>
    </xf>
    <xf numFmtId="0" fontId="10" fillId="0" borderId="0" xfId="0" applyFont="1" applyFill="1" applyBorder="1" applyAlignment="1" applyProtection="1">
      <alignment vertical="top" wrapText="1"/>
    </xf>
    <xf numFmtId="0" fontId="10" fillId="0" borderId="0" xfId="0" applyFont="1" applyFill="1" applyBorder="1" applyAlignment="1" applyProtection="1">
      <alignment horizontal="left" vertical="top" wrapText="1" indent="2"/>
    </xf>
    <xf numFmtId="1" fontId="10" fillId="0" borderId="0" xfId="3" applyNumberFormat="1" applyFont="1" applyFill="1" applyBorder="1" applyAlignment="1" applyProtection="1">
      <alignment horizontal="center" vertical="center" wrapText="1"/>
    </xf>
    <xf numFmtId="0" fontId="0" fillId="0" borderId="0" xfId="0" applyFont="1" applyFill="1" applyBorder="1" applyProtection="1"/>
    <xf numFmtId="0" fontId="4" fillId="3" borderId="115" xfId="0" applyFont="1" applyFill="1" applyBorder="1" applyAlignment="1" applyProtection="1">
      <alignment vertical="center" wrapText="1"/>
    </xf>
    <xf numFmtId="0" fontId="4" fillId="3" borderId="116" xfId="0" applyFont="1" applyFill="1" applyBorder="1" applyAlignment="1" applyProtection="1">
      <alignment vertical="center" wrapText="1"/>
    </xf>
    <xf numFmtId="0" fontId="4" fillId="3" borderId="117" xfId="0" applyFont="1" applyFill="1" applyBorder="1" applyAlignment="1" applyProtection="1">
      <alignment vertical="center" wrapText="1"/>
    </xf>
    <xf numFmtId="0" fontId="5" fillId="0" borderId="118" xfId="0" applyFont="1" applyFill="1" applyBorder="1" applyAlignment="1" applyProtection="1">
      <alignment horizontal="left" vertical="top" wrapText="1" indent="2"/>
    </xf>
    <xf numFmtId="0" fontId="5" fillId="0" borderId="119" xfId="0" applyFont="1" applyFill="1" applyBorder="1" applyAlignment="1" applyProtection="1">
      <alignment vertical="top" wrapText="1"/>
    </xf>
    <xf numFmtId="3" fontId="10" fillId="2" borderId="120" xfId="0" applyNumberFormat="1" applyFont="1" applyFill="1" applyBorder="1" applyAlignment="1" applyProtection="1">
      <alignment horizontal="center" vertical="center" wrapText="1"/>
    </xf>
    <xf numFmtId="0" fontId="11" fillId="0" borderId="33" xfId="0" applyFont="1" applyBorder="1" applyAlignment="1">
      <alignment horizontal="right" vertical="center" wrapText="1"/>
    </xf>
    <xf numFmtId="0" fontId="0" fillId="0" borderId="0" xfId="0" applyAlignment="1">
      <alignment vertical="center" wrapText="1"/>
    </xf>
    <xf numFmtId="0" fontId="0" fillId="0" borderId="0" xfId="0" applyAlignment="1">
      <alignment vertical="top" wrapText="1"/>
    </xf>
    <xf numFmtId="0" fontId="48" fillId="0" borderId="0" xfId="4" applyFont="1" applyBorder="1" applyAlignment="1" applyProtection="1">
      <alignment horizontal="left" vertical="top" wrapText="1"/>
    </xf>
    <xf numFmtId="0" fontId="0" fillId="0" borderId="0" xfId="0" applyAlignment="1">
      <alignment horizontal="left" vertical="top" wrapText="1"/>
    </xf>
    <xf numFmtId="0" fontId="49" fillId="0" borderId="0" xfId="0" applyFont="1" applyBorder="1" applyAlignment="1">
      <alignment horizontal="center" vertical="top" wrapText="1"/>
    </xf>
    <xf numFmtId="0" fontId="0" fillId="0" borderId="0" xfId="0" applyAlignment="1">
      <alignment horizontal="right" vertical="top" wrapText="1"/>
    </xf>
    <xf numFmtId="0" fontId="45" fillId="0" borderId="0" xfId="0" applyFont="1" applyAlignment="1">
      <alignment vertical="center" wrapText="1"/>
    </xf>
    <xf numFmtId="0" fontId="0" fillId="12" borderId="121" xfId="0" applyFill="1" applyBorder="1" applyAlignment="1">
      <alignment vertical="center" wrapText="1"/>
    </xf>
    <xf numFmtId="0" fontId="0" fillId="12" borderId="122" xfId="0" applyFill="1" applyBorder="1" applyAlignment="1">
      <alignment vertical="center" wrapText="1"/>
    </xf>
    <xf numFmtId="0" fontId="0" fillId="12" borderId="123" xfId="0" applyFill="1" applyBorder="1"/>
    <xf numFmtId="0" fontId="0" fillId="12" borderId="124" xfId="0" applyFill="1" applyBorder="1"/>
    <xf numFmtId="0" fontId="0" fillId="12" borderId="125" xfId="0" applyFill="1" applyBorder="1"/>
    <xf numFmtId="0" fontId="0" fillId="12" borderId="0" xfId="0" applyFill="1" applyBorder="1" applyAlignment="1">
      <alignment horizontal="right" vertical="top"/>
    </xf>
    <xf numFmtId="0" fontId="0" fillId="12" borderId="0" xfId="0" applyFill="1" applyBorder="1" applyAlignment="1">
      <alignment horizontal="right" vertical="top" wrapText="1"/>
    </xf>
    <xf numFmtId="0" fontId="0" fillId="12" borderId="126" xfId="0" applyFill="1" applyBorder="1"/>
    <xf numFmtId="0" fontId="0" fillId="12" borderId="127" xfId="0" applyFill="1" applyBorder="1" applyAlignment="1">
      <alignment horizontal="right" vertical="top" wrapText="1"/>
    </xf>
    <xf numFmtId="0" fontId="0" fillId="12" borderId="127" xfId="0" applyFill="1" applyBorder="1" applyAlignment="1">
      <alignment horizontal="left" vertical="top" wrapText="1"/>
    </xf>
    <xf numFmtId="0" fontId="0" fillId="12" borderId="128" xfId="0" applyFill="1" applyBorder="1"/>
    <xf numFmtId="0" fontId="0" fillId="12" borderId="124" xfId="0" applyFill="1" applyBorder="1" applyAlignment="1">
      <alignment vertical="center" wrapText="1"/>
    </xf>
    <xf numFmtId="0" fontId="0" fillId="12" borderId="0" xfId="0" applyFill="1" applyBorder="1" applyAlignment="1">
      <alignment vertical="center" wrapText="1"/>
    </xf>
    <xf numFmtId="0" fontId="0" fillId="3" borderId="0" xfId="0" applyFill="1" applyBorder="1"/>
    <xf numFmtId="0" fontId="0" fillId="3" borderId="0" xfId="0" applyFill="1" applyBorder="1" applyAlignment="1">
      <alignment horizontal="right" vertical="top" wrapText="1"/>
    </xf>
    <xf numFmtId="0" fontId="0" fillId="3" borderId="0" xfId="0" applyFill="1" applyBorder="1" applyAlignment="1">
      <alignment horizontal="left" vertical="top" wrapText="1"/>
    </xf>
    <xf numFmtId="0" fontId="0" fillId="0" borderId="0" xfId="0" applyBorder="1" applyAlignment="1">
      <alignment horizontal="left" vertical="top" wrapText="1"/>
    </xf>
    <xf numFmtId="0" fontId="0" fillId="0" borderId="0" xfId="0" applyBorder="1" applyAlignment="1">
      <alignment horizontal="right" vertical="top" wrapText="1"/>
    </xf>
    <xf numFmtId="0" fontId="0" fillId="0" borderId="0" xfId="0" applyBorder="1" applyAlignment="1">
      <alignment horizontal="right" vertical="top"/>
    </xf>
    <xf numFmtId="0" fontId="45" fillId="0" borderId="0" xfId="0" applyFont="1" applyAlignment="1">
      <alignment horizontal="right" vertical="top" wrapText="1"/>
    </xf>
    <xf numFmtId="49" fontId="0" fillId="0" borderId="0" xfId="0" applyNumberFormat="1"/>
    <xf numFmtId="49" fontId="0" fillId="0" borderId="0" xfId="0" applyNumberFormat="1" applyAlignment="1">
      <alignment horizontal="center" vertical="top"/>
    </xf>
    <xf numFmtId="49" fontId="0" fillId="0" borderId="0" xfId="0" applyNumberFormat="1" applyAlignment="1">
      <alignment horizontal="right" vertical="top"/>
    </xf>
    <xf numFmtId="9" fontId="3" fillId="0" borderId="5" xfId="3" applyFont="1" applyFill="1" applyBorder="1" applyAlignment="1" applyProtection="1">
      <alignment horizontal="center" vertical="center"/>
    </xf>
    <xf numFmtId="0" fontId="0" fillId="0" borderId="0" xfId="0" applyAlignment="1">
      <alignment horizontal="left" vertical="top"/>
    </xf>
    <xf numFmtId="0" fontId="6" fillId="0" borderId="0" xfId="0" applyFont="1" applyAlignment="1">
      <alignment horizontal="left" vertical="top" wrapText="1"/>
    </xf>
    <xf numFmtId="0" fontId="3" fillId="0" borderId="0" xfId="0" applyFont="1" applyAlignment="1">
      <alignment horizontal="left" vertical="top"/>
    </xf>
    <xf numFmtId="0" fontId="6" fillId="0" borderId="0" xfId="0" applyFont="1" applyAlignment="1">
      <alignment vertical="top" wrapText="1"/>
    </xf>
    <xf numFmtId="0" fontId="43" fillId="0" borderId="0" xfId="0" applyFont="1" applyAlignment="1">
      <alignment vertical="top"/>
    </xf>
    <xf numFmtId="0" fontId="0" fillId="0" borderId="0" xfId="0" applyAlignment="1">
      <alignment vertical="top"/>
    </xf>
    <xf numFmtId="0" fontId="46" fillId="0" borderId="0" xfId="0" applyFont="1" applyAlignment="1">
      <alignment horizontal="left" vertical="top"/>
    </xf>
    <xf numFmtId="0" fontId="14" fillId="0" borderId="64" xfId="0" applyFont="1" applyBorder="1" applyAlignment="1" applyProtection="1">
      <alignment horizontal="right" wrapText="1"/>
    </xf>
    <xf numFmtId="0" fontId="5" fillId="3" borderId="6" xfId="0" applyFont="1" applyFill="1" applyBorder="1" applyAlignment="1" applyProtection="1">
      <alignment horizontal="left" vertical="top" wrapText="1" indent="2"/>
    </xf>
    <xf numFmtId="0" fontId="10" fillId="0" borderId="6" xfId="0" applyFont="1" applyBorder="1" applyAlignment="1" applyProtection="1">
      <alignment horizontal="left" vertical="center" wrapText="1" indent="2"/>
    </xf>
    <xf numFmtId="0" fontId="5" fillId="0" borderId="6" xfId="0" applyFont="1" applyBorder="1" applyAlignment="1" applyProtection="1">
      <alignment horizontal="left" vertical="center" wrapText="1" indent="2"/>
    </xf>
    <xf numFmtId="0" fontId="5" fillId="0" borderId="3" xfId="0" applyFont="1" applyFill="1" applyBorder="1" applyAlignment="1" applyProtection="1">
      <alignment horizontal="left" vertical="top" wrapText="1" indent="2"/>
    </xf>
    <xf numFmtId="0" fontId="6" fillId="0" borderId="0" xfId="0" applyFont="1" applyBorder="1" applyAlignment="1">
      <alignment horizontal="right" vertical="top"/>
    </xf>
    <xf numFmtId="0" fontId="6" fillId="0" borderId="0" xfId="0" applyFont="1" applyAlignment="1">
      <alignment vertical="top"/>
    </xf>
    <xf numFmtId="0" fontId="6" fillId="0" borderId="0" xfId="0" applyFont="1" applyBorder="1" applyAlignment="1">
      <alignment vertical="top"/>
    </xf>
    <xf numFmtId="0" fontId="0" fillId="0" borderId="0" xfId="0" applyFont="1" applyBorder="1" applyAlignment="1">
      <alignment vertical="top"/>
    </xf>
    <xf numFmtId="0" fontId="2" fillId="5" borderId="37" xfId="0" applyFont="1" applyFill="1" applyBorder="1" applyAlignment="1">
      <alignment vertical="top" wrapText="1"/>
    </xf>
    <xf numFmtId="0" fontId="2" fillId="5" borderId="29" xfId="0" applyFont="1" applyFill="1" applyBorder="1" applyAlignment="1">
      <alignment vertical="top" wrapText="1"/>
    </xf>
    <xf numFmtId="0" fontId="2" fillId="5" borderId="29" xfId="0" applyFont="1" applyFill="1" applyBorder="1" applyAlignment="1">
      <alignment horizontal="center" vertical="top" wrapText="1"/>
    </xf>
    <xf numFmtId="0" fontId="2" fillId="5" borderId="112" xfId="0" applyFont="1" applyFill="1" applyBorder="1" applyAlignment="1">
      <alignment horizontal="center" vertical="top" wrapText="1"/>
    </xf>
    <xf numFmtId="1" fontId="10" fillId="6" borderId="33" xfId="0" applyNumberFormat="1" applyFont="1" applyFill="1" applyBorder="1" applyAlignment="1" applyProtection="1">
      <alignment horizontal="center" vertical="top" wrapText="1"/>
    </xf>
    <xf numFmtId="0" fontId="29" fillId="0" borderId="33" xfId="0" applyFont="1" applyBorder="1" applyAlignment="1" applyProtection="1">
      <alignment vertical="top"/>
    </xf>
    <xf numFmtId="0" fontId="4" fillId="0" borderId="33" xfId="0" applyFont="1" applyBorder="1" applyAlignment="1" applyProtection="1">
      <alignment vertical="top" wrapText="1"/>
    </xf>
    <xf numFmtId="0" fontId="0" fillId="0" borderId="33" xfId="0" applyBorder="1" applyAlignment="1">
      <alignment vertical="top"/>
    </xf>
    <xf numFmtId="0" fontId="6" fillId="0" borderId="33" xfId="0" applyFont="1" applyBorder="1" applyAlignment="1" applyProtection="1">
      <alignment horizontal="right" vertical="top"/>
    </xf>
    <xf numFmtId="1" fontId="1" fillId="11" borderId="33" xfId="3" applyNumberFormat="1" applyFont="1" applyFill="1" applyBorder="1" applyAlignment="1" applyProtection="1">
      <alignment horizontal="center" vertical="top"/>
    </xf>
    <xf numFmtId="1" fontId="0" fillId="2" borderId="33" xfId="0" applyNumberFormat="1" applyFill="1" applyBorder="1" applyAlignment="1" applyProtection="1">
      <alignment horizontal="center" vertical="top"/>
    </xf>
    <xf numFmtId="0" fontId="14" fillId="0" borderId="33" xfId="0" applyFont="1" applyBorder="1" applyAlignment="1" applyProtection="1">
      <alignment horizontal="right" vertical="top"/>
    </xf>
    <xf numFmtId="0" fontId="14" fillId="0" borderId="33" xfId="0" applyFont="1" applyBorder="1" applyAlignment="1" applyProtection="1">
      <alignment vertical="top"/>
    </xf>
    <xf numFmtId="1" fontId="3" fillId="2" borderId="33" xfId="0" applyNumberFormat="1" applyFont="1" applyFill="1" applyBorder="1" applyAlignment="1" applyProtection="1">
      <alignment horizontal="center" vertical="top"/>
    </xf>
    <xf numFmtId="9" fontId="3" fillId="2" borderId="33" xfId="3" applyFont="1" applyFill="1" applyBorder="1" applyAlignment="1" applyProtection="1">
      <alignment horizontal="center" vertical="top"/>
    </xf>
    <xf numFmtId="0" fontId="15" fillId="0" borderId="33" xfId="0" applyFont="1" applyBorder="1" applyAlignment="1" applyProtection="1">
      <alignment vertical="top"/>
    </xf>
    <xf numFmtId="0" fontId="0" fillId="0" borderId="129" xfId="0" applyBorder="1"/>
    <xf numFmtId="0" fontId="0" fillId="0" borderId="130" xfId="0" applyBorder="1"/>
    <xf numFmtId="0" fontId="11" fillId="0" borderId="0" xfId="0" applyFont="1" applyBorder="1" applyAlignment="1" applyProtection="1">
      <alignment horizontal="left" wrapText="1"/>
    </xf>
    <xf numFmtId="0" fontId="48" fillId="0" borderId="0" xfId="4" applyFont="1" applyBorder="1" applyAlignment="1" applyProtection="1">
      <alignment horizontal="left" wrapText="1"/>
    </xf>
    <xf numFmtId="0" fontId="3" fillId="0" borderId="0" xfId="0" applyFont="1" applyProtection="1"/>
    <xf numFmtId="0" fontId="0" fillId="3" borderId="0" xfId="0" applyFill="1" applyBorder="1" applyAlignment="1">
      <alignment horizontal="left" vertical="top" wrapText="1"/>
    </xf>
    <xf numFmtId="0" fontId="2" fillId="5" borderId="16" xfId="0" applyFont="1" applyFill="1" applyBorder="1" applyAlignment="1">
      <alignment horizontal="center" vertical="center" wrapText="1"/>
    </xf>
    <xf numFmtId="0" fontId="6" fillId="0" borderId="129" xfId="0" applyFont="1" applyBorder="1"/>
    <xf numFmtId="0" fontId="0" fillId="0" borderId="0" xfId="0" applyBorder="1" applyAlignment="1">
      <alignment horizontal="left" vertical="center" wrapText="1" indent="5"/>
    </xf>
    <xf numFmtId="0" fontId="0" fillId="0" borderId="0" xfId="0" applyBorder="1" applyAlignment="1">
      <alignment vertical="center" wrapText="1"/>
    </xf>
    <xf numFmtId="0" fontId="11" fillId="0" borderId="46" xfId="0" applyFont="1" applyBorder="1" applyAlignment="1">
      <alignment horizontal="left" vertical="top" wrapText="1" indent="2"/>
    </xf>
    <xf numFmtId="0" fontId="11" fillId="0" borderId="74" xfId="0" applyFont="1" applyBorder="1" applyAlignment="1">
      <alignment horizontal="left" vertical="top" wrapText="1" indent="2"/>
    </xf>
    <xf numFmtId="0" fontId="8" fillId="0" borderId="46" xfId="0" applyFont="1" applyBorder="1" applyAlignment="1">
      <alignment horizontal="left" vertical="top" wrapText="1" indent="2"/>
    </xf>
    <xf numFmtId="0" fontId="8" fillId="0" borderId="46" xfId="4" applyFont="1" applyBorder="1" applyAlignment="1">
      <alignment horizontal="left" vertical="top" wrapText="1" indent="2"/>
    </xf>
    <xf numFmtId="0" fontId="0" fillId="0" borderId="6" xfId="0" applyBorder="1" applyAlignment="1">
      <alignment horizontal="center" vertical="top"/>
    </xf>
    <xf numFmtId="0" fontId="0" fillId="0" borderId="5" xfId="0" applyBorder="1" applyAlignment="1">
      <alignment vertical="top"/>
    </xf>
    <xf numFmtId="0" fontId="0" fillId="0" borderId="4" xfId="0" applyBorder="1" applyAlignment="1">
      <alignment vertical="top"/>
    </xf>
    <xf numFmtId="0" fontId="0" fillId="0" borderId="3" xfId="0" applyBorder="1" applyAlignment="1">
      <alignment horizontal="center" vertical="top"/>
    </xf>
    <xf numFmtId="0" fontId="0" fillId="0" borderId="2" xfId="0" applyBorder="1" applyAlignment="1">
      <alignment vertical="top"/>
    </xf>
    <xf numFmtId="0" fontId="0" fillId="0" borderId="1" xfId="0" applyBorder="1" applyAlignment="1">
      <alignment vertical="top"/>
    </xf>
    <xf numFmtId="0" fontId="0" fillId="0" borderId="0" xfId="0" applyAlignment="1">
      <alignment vertical="top" wrapText="1"/>
    </xf>
    <xf numFmtId="0" fontId="3" fillId="0" borderId="37" xfId="0" applyFont="1" applyBorder="1" applyAlignment="1">
      <alignment horizontal="right" vertical="top" wrapText="1"/>
    </xf>
    <xf numFmtId="0" fontId="26" fillId="0" borderId="134" xfId="0" applyFont="1" applyBorder="1" applyAlignment="1">
      <alignment horizontal="center" vertical="center" wrapText="1"/>
    </xf>
    <xf numFmtId="0" fontId="11" fillId="0" borderId="135" xfId="0" applyFont="1" applyBorder="1" applyAlignment="1">
      <alignment horizontal="left" vertical="top" wrapText="1" indent="2"/>
    </xf>
    <xf numFmtId="0" fontId="7" fillId="9" borderId="135" xfId="0" applyFont="1" applyFill="1" applyBorder="1" applyAlignment="1" applyProtection="1">
      <alignment horizontal="left" vertical="center" wrapText="1" indent="2"/>
      <protection locked="0"/>
    </xf>
    <xf numFmtId="170" fontId="13" fillId="9" borderId="0" xfId="1" applyNumberFormat="1" applyFont="1" applyFill="1" applyBorder="1" applyAlignment="1" applyProtection="1">
      <alignment horizontal="left" vertical="top" wrapText="1"/>
      <protection locked="0"/>
    </xf>
    <xf numFmtId="0" fontId="11" fillId="9" borderId="14" xfId="0" applyFont="1" applyFill="1" applyBorder="1" applyAlignment="1" applyProtection="1">
      <alignment wrapText="1"/>
      <protection locked="0"/>
    </xf>
    <xf numFmtId="0" fontId="11" fillId="9" borderId="0" xfId="0" applyFont="1" applyFill="1" applyBorder="1" applyAlignment="1" applyProtection="1">
      <alignment wrapText="1"/>
      <protection locked="0"/>
    </xf>
    <xf numFmtId="0" fontId="41" fillId="0" borderId="0" xfId="0" applyFont="1" applyBorder="1" applyAlignment="1">
      <alignment horizontal="center" vertical="top" wrapText="1"/>
    </xf>
    <xf numFmtId="0" fontId="34" fillId="9" borderId="0" xfId="0" applyFont="1" applyFill="1" applyBorder="1" applyAlignment="1" applyProtection="1">
      <alignment horizontal="center" vertical="top"/>
      <protection locked="0"/>
    </xf>
    <xf numFmtId="0" fontId="54" fillId="0" borderId="131" xfId="0" applyFont="1" applyBorder="1" applyAlignment="1">
      <alignment horizontal="center" vertical="top" wrapText="1"/>
    </xf>
    <xf numFmtId="0" fontId="54" fillId="0" borderId="132" xfId="0" applyFont="1" applyBorder="1" applyAlignment="1">
      <alignment horizontal="center" vertical="top" wrapText="1"/>
    </xf>
    <xf numFmtId="0" fontId="54" fillId="0" borderId="133" xfId="0" applyFont="1" applyBorder="1" applyAlignment="1">
      <alignment horizontal="center" vertical="top" wrapText="1"/>
    </xf>
    <xf numFmtId="0" fontId="42" fillId="0" borderId="0" xfId="0" applyFont="1" applyBorder="1" applyAlignment="1">
      <alignment horizontal="center" vertical="top" wrapText="1"/>
    </xf>
    <xf numFmtId="0" fontId="49" fillId="0" borderId="0" xfId="0" applyFont="1" applyBorder="1" applyAlignment="1">
      <alignment horizontal="center" vertical="top" wrapText="1"/>
    </xf>
    <xf numFmtId="0" fontId="51" fillId="0" borderId="0" xfId="0" applyFont="1" applyAlignment="1">
      <alignment horizontal="center" vertical="center"/>
    </xf>
    <xf numFmtId="0" fontId="51" fillId="0" borderId="0" xfId="0" applyFont="1" applyAlignment="1">
      <alignment horizontal="left" vertical="top"/>
    </xf>
    <xf numFmtId="0" fontId="0" fillId="0" borderId="0" xfId="0" applyBorder="1" applyAlignment="1">
      <alignment horizontal="left" vertical="top" wrapText="1"/>
    </xf>
    <xf numFmtId="0" fontId="0" fillId="0" borderId="0" xfId="0" applyAlignment="1">
      <alignment horizontal="left" vertical="top" wrapText="1"/>
    </xf>
    <xf numFmtId="0" fontId="3" fillId="12" borderId="0" xfId="0" applyFont="1" applyFill="1" applyBorder="1" applyAlignment="1">
      <alignment horizontal="left" vertical="top" wrapText="1"/>
    </xf>
    <xf numFmtId="0" fontId="0" fillId="3" borderId="0" xfId="0" applyFill="1" applyBorder="1" applyAlignment="1">
      <alignment horizontal="left" vertical="top" wrapText="1"/>
    </xf>
    <xf numFmtId="0" fontId="0" fillId="12" borderId="0" xfId="0" applyFill="1" applyBorder="1" applyAlignment="1">
      <alignment horizontal="left" vertical="top" wrapText="1"/>
    </xf>
    <xf numFmtId="0" fontId="0" fillId="12" borderId="0" xfId="0" applyFill="1" applyBorder="1" applyAlignment="1">
      <alignment horizontal="left" vertical="top"/>
    </xf>
    <xf numFmtId="0" fontId="0" fillId="0" borderId="0" xfId="0" applyAlignment="1">
      <alignment vertical="top" wrapText="1"/>
    </xf>
    <xf numFmtId="0" fontId="3" fillId="0" borderId="0" xfId="0" applyFont="1" applyAlignment="1">
      <alignment horizontal="left" vertical="top"/>
    </xf>
    <xf numFmtId="0" fontId="0" fillId="0" borderId="0" xfId="0" applyFont="1" applyAlignment="1">
      <alignment horizontal="left" vertical="top" wrapText="1"/>
    </xf>
    <xf numFmtId="0" fontId="52" fillId="0" borderId="0" xfId="0" applyFont="1" applyAlignment="1">
      <alignment horizontal="left" vertical="top"/>
    </xf>
    <xf numFmtId="0" fontId="52" fillId="0" borderId="0" xfId="0" applyFont="1" applyAlignment="1">
      <alignment horizontal="left" vertical="center"/>
    </xf>
    <xf numFmtId="0" fontId="0" fillId="0" borderId="0" xfId="0" applyAlignment="1">
      <alignment horizontal="left" vertical="center"/>
    </xf>
    <xf numFmtId="0" fontId="50" fillId="0" borderId="0" xfId="0" applyFont="1" applyAlignment="1">
      <alignment vertical="top" wrapText="1"/>
    </xf>
    <xf numFmtId="0" fontId="50" fillId="0" borderId="0" xfId="0" applyFont="1" applyAlignment="1">
      <alignment horizontal="left" vertical="top" wrapText="1"/>
    </xf>
    <xf numFmtId="0" fontId="6" fillId="0" borderId="0" xfId="0" applyFont="1" applyAlignment="1">
      <alignment horizontal="left" vertical="top" wrapText="1"/>
    </xf>
    <xf numFmtId="0" fontId="4" fillId="3" borderId="12" xfId="0" applyFont="1" applyFill="1" applyBorder="1" applyAlignment="1">
      <alignment horizontal="left" vertical="center"/>
    </xf>
    <xf numFmtId="0" fontId="4" fillId="3" borderId="11" xfId="0" applyFont="1" applyFill="1" applyBorder="1" applyAlignment="1">
      <alignment horizontal="left" vertical="center"/>
    </xf>
    <xf numFmtId="0" fontId="4" fillId="4" borderId="97" xfId="0" applyFont="1" applyFill="1" applyBorder="1" applyAlignment="1">
      <alignment horizontal="left" vertical="center" wrapText="1"/>
    </xf>
    <xf numFmtId="0" fontId="4" fillId="4" borderId="98" xfId="0" applyFont="1" applyFill="1" applyBorder="1" applyAlignment="1">
      <alignment horizontal="left" vertical="center" wrapText="1"/>
    </xf>
    <xf numFmtId="0" fontId="4" fillId="4" borderId="99" xfId="0" applyFont="1" applyFill="1" applyBorder="1" applyAlignment="1">
      <alignment horizontal="left" vertical="center" wrapText="1"/>
    </xf>
    <xf numFmtId="0" fontId="26" fillId="0" borderId="100" xfId="0" applyFont="1" applyBorder="1" applyAlignment="1">
      <alignment horizontal="center" vertical="center" wrapText="1"/>
    </xf>
    <xf numFmtId="0" fontId="4" fillId="4" borderId="75" xfId="0" applyFont="1" applyFill="1" applyBorder="1" applyAlignment="1">
      <alignment horizontal="left" vertical="center" wrapText="1"/>
    </xf>
    <xf numFmtId="0" fontId="4" fillId="4" borderId="76" xfId="0" applyFont="1" applyFill="1" applyBorder="1" applyAlignment="1">
      <alignment horizontal="left" vertical="center" wrapText="1"/>
    </xf>
    <xf numFmtId="0" fontId="4" fillId="4" borderId="77" xfId="0" applyFont="1" applyFill="1" applyBorder="1" applyAlignment="1">
      <alignment horizontal="left" vertical="center" wrapText="1"/>
    </xf>
    <xf numFmtId="0" fontId="5" fillId="0" borderId="9" xfId="0" applyFont="1" applyBorder="1" applyAlignment="1">
      <alignment horizontal="right" vertical="center" wrapText="1"/>
    </xf>
    <xf numFmtId="0" fontId="5" fillId="0" borderId="8" xfId="0" applyFont="1" applyBorder="1" applyAlignment="1">
      <alignment horizontal="right" vertical="center" wrapText="1"/>
    </xf>
    <xf numFmtId="0" fontId="3" fillId="0" borderId="89" xfId="0" applyFont="1" applyBorder="1" applyAlignment="1">
      <alignment horizontal="right" vertical="center" wrapText="1"/>
    </xf>
    <xf numFmtId="0" fontId="3" fillId="0" borderId="90" xfId="0" applyFont="1" applyBorder="1" applyAlignment="1">
      <alignment horizontal="right" vertical="center" wrapText="1"/>
    </xf>
    <xf numFmtId="164" fontId="10" fillId="2" borderId="95" xfId="0" applyNumberFormat="1" applyFont="1" applyFill="1" applyBorder="1" applyAlignment="1">
      <alignment horizontal="center" vertical="center" wrapText="1"/>
    </xf>
    <xf numFmtId="0" fontId="28" fillId="0" borderId="100" xfId="0" applyFont="1" applyBorder="1" applyAlignment="1">
      <alignment horizontal="center" vertical="center" wrapText="1"/>
    </xf>
    <xf numFmtId="164" fontId="1" fillId="2" borderId="95" xfId="0" applyNumberFormat="1" applyFont="1" applyFill="1" applyBorder="1" applyAlignment="1">
      <alignment horizontal="center" vertical="center" wrapText="1"/>
    </xf>
    <xf numFmtId="0" fontId="4" fillId="3" borderId="19" xfId="0" applyFont="1" applyFill="1" applyBorder="1" applyAlignment="1">
      <alignment horizontal="right" vertical="center"/>
    </xf>
    <xf numFmtId="0" fontId="4" fillId="3" borderId="18" xfId="0" applyFont="1" applyFill="1" applyBorder="1" applyAlignment="1">
      <alignment horizontal="right" vertical="center"/>
    </xf>
    <xf numFmtId="0" fontId="21" fillId="3" borderId="0" xfId="0" applyFont="1" applyFill="1" applyBorder="1" applyAlignment="1">
      <alignment horizontal="left" vertical="top" wrapText="1"/>
    </xf>
    <xf numFmtId="0" fontId="2" fillId="5" borderId="10" xfId="0" applyFont="1" applyFill="1" applyBorder="1" applyAlignment="1">
      <alignment horizontal="center" vertical="center" wrapText="1"/>
    </xf>
    <xf numFmtId="3" fontId="13" fillId="2" borderId="95" xfId="0" applyNumberFormat="1" applyFont="1" applyFill="1" applyBorder="1" applyAlignment="1">
      <alignment horizontal="center" vertical="center" wrapText="1"/>
    </xf>
    <xf numFmtId="1" fontId="13" fillId="2" borderId="136" xfId="0" applyNumberFormat="1" applyFont="1" applyFill="1" applyBorder="1" applyAlignment="1">
      <alignment horizontal="center" vertical="center" wrapText="1"/>
    </xf>
    <xf numFmtId="1" fontId="13" fillId="2" borderId="137" xfId="0" applyNumberFormat="1" applyFont="1" applyFill="1" applyBorder="1" applyAlignment="1">
      <alignment horizontal="center" vertical="center" wrapText="1"/>
    </xf>
    <xf numFmtId="0" fontId="30" fillId="0" borderId="0" xfId="0" applyFont="1" applyAlignment="1">
      <alignment horizontal="left" vertical="top" wrapText="1"/>
    </xf>
    <xf numFmtId="0" fontId="37" fillId="0" borderId="0" xfId="4" applyFont="1" applyAlignment="1">
      <alignment horizontal="left" vertical="top" wrapText="1"/>
    </xf>
    <xf numFmtId="0" fontId="11" fillId="9" borderId="14" xfId="0" applyFont="1" applyFill="1" applyBorder="1" applyAlignment="1" applyProtection="1">
      <alignment horizontal="left" wrapText="1"/>
      <protection locked="0"/>
    </xf>
    <xf numFmtId="0" fontId="11" fillId="9" borderId="0" xfId="0" applyFont="1" applyFill="1" applyBorder="1" applyAlignment="1" applyProtection="1">
      <alignment horizontal="left" wrapText="1"/>
      <protection locked="0"/>
    </xf>
    <xf numFmtId="0" fontId="3" fillId="0" borderId="111" xfId="0" applyFont="1" applyFill="1" applyBorder="1" applyAlignment="1">
      <alignment horizontal="left" vertical="center" wrapText="1"/>
    </xf>
    <xf numFmtId="0" fontId="0" fillId="0" borderId="14" xfId="0" applyFont="1" applyBorder="1" applyAlignment="1">
      <alignment horizontal="left" vertical="top" wrapText="1"/>
    </xf>
    <xf numFmtId="0" fontId="0" fillId="0" borderId="0" xfId="0" applyFont="1" applyBorder="1" applyAlignment="1">
      <alignment horizontal="left" vertical="top" wrapText="1"/>
    </xf>
    <xf numFmtId="0" fontId="14" fillId="0" borderId="0" xfId="0" applyFont="1" applyBorder="1" applyAlignment="1">
      <alignment horizontal="right" vertical="top" wrapText="1"/>
    </xf>
    <xf numFmtId="0" fontId="3" fillId="0" borderId="18" xfId="0" applyFont="1" applyBorder="1" applyAlignment="1">
      <alignment horizontal="right" vertical="top" wrapText="1"/>
    </xf>
    <xf numFmtId="0" fontId="3" fillId="0" borderId="40" xfId="0" applyFont="1" applyBorder="1" applyAlignment="1">
      <alignment horizontal="right" vertical="top" wrapText="1"/>
    </xf>
    <xf numFmtId="0" fontId="3" fillId="0" borderId="38" xfId="0" applyFont="1" applyBorder="1" applyAlignment="1">
      <alignment horizontal="right" vertical="top" wrapText="1"/>
    </xf>
    <xf numFmtId="0" fontId="3" fillId="2" borderId="14"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1" fillId="8" borderId="14" xfId="0" applyFont="1" applyFill="1" applyBorder="1" applyAlignment="1">
      <alignment horizontal="left" vertical="top" wrapText="1"/>
    </xf>
    <xf numFmtId="0" fontId="1" fillId="8" borderId="0" xfId="0" applyFont="1" applyFill="1" applyBorder="1" applyAlignment="1">
      <alignment horizontal="left" vertical="top" wrapText="1"/>
    </xf>
    <xf numFmtId="0" fontId="2" fillId="5" borderId="0" xfId="0" applyFont="1" applyFill="1" applyBorder="1" applyAlignment="1">
      <alignment horizontal="center" vertical="top" wrapText="1"/>
    </xf>
    <xf numFmtId="0" fontId="24" fillId="0" borderId="40" xfId="0" applyFont="1" applyBorder="1" applyAlignment="1">
      <alignment horizontal="left" vertical="top" wrapText="1"/>
    </xf>
    <xf numFmtId="0" fontId="24" fillId="0" borderId="38" xfId="0" applyFont="1" applyBorder="1" applyAlignment="1">
      <alignment horizontal="left" vertical="top" wrapText="1"/>
    </xf>
    <xf numFmtId="0" fontId="19" fillId="0" borderId="33" xfId="0" applyFont="1" applyBorder="1" applyAlignment="1">
      <alignment horizontal="left" vertical="top" wrapText="1"/>
    </xf>
    <xf numFmtId="0" fontId="3" fillId="0" borderId="0" xfId="0" applyFont="1" applyBorder="1" applyAlignment="1">
      <alignment horizontal="right" vertical="top" wrapText="1"/>
    </xf>
    <xf numFmtId="0" fontId="0" fillId="0" borderId="6" xfId="0" applyBorder="1" applyAlignment="1">
      <alignment horizontal="left" vertical="center" wrapText="1" indent="2"/>
    </xf>
    <xf numFmtId="0" fontId="28" fillId="0" borderId="14" xfId="0" applyFont="1" applyFill="1" applyBorder="1" applyAlignment="1">
      <alignment horizontal="left" vertical="top" wrapText="1"/>
    </xf>
    <xf numFmtId="0" fontId="28" fillId="0" borderId="0" xfId="0" applyFont="1" applyFill="1" applyBorder="1" applyAlignment="1">
      <alignment horizontal="left" vertical="top" wrapText="1"/>
    </xf>
    <xf numFmtId="0" fontId="28" fillId="0" borderId="13" xfId="0" applyFont="1" applyFill="1" applyBorder="1" applyAlignment="1">
      <alignment horizontal="left" vertical="top" wrapText="1"/>
    </xf>
    <xf numFmtId="0" fontId="27" fillId="0" borderId="14" xfId="0" applyFont="1" applyFill="1" applyBorder="1" applyAlignment="1">
      <alignment horizontal="left" vertical="top" wrapText="1"/>
    </xf>
    <xf numFmtId="0" fontId="27" fillId="0" borderId="39" xfId="0" applyFont="1" applyFill="1" applyBorder="1" applyAlignment="1">
      <alignment horizontal="left" vertical="top" wrapText="1"/>
    </xf>
    <xf numFmtId="0" fontId="27" fillId="0" borderId="43" xfId="0" applyFont="1" applyFill="1" applyBorder="1" applyAlignment="1">
      <alignment horizontal="left" vertical="top" wrapText="1"/>
    </xf>
    <xf numFmtId="0" fontId="28" fillId="0" borderId="42" xfId="0" applyFont="1" applyFill="1" applyBorder="1" applyAlignment="1">
      <alignment horizontal="left" vertical="top" wrapText="1"/>
    </xf>
    <xf numFmtId="0" fontId="28" fillId="0" borderId="39" xfId="0" applyFont="1" applyFill="1" applyBorder="1" applyAlignment="1">
      <alignment horizontal="left" vertical="top" wrapText="1"/>
    </xf>
    <xf numFmtId="0" fontId="28" fillId="0" borderId="43" xfId="0" applyFont="1" applyFill="1" applyBorder="1" applyAlignment="1">
      <alignment horizontal="left" vertical="top" wrapText="1"/>
    </xf>
    <xf numFmtId="0" fontId="0" fillId="0" borderId="34" xfId="0" applyFont="1" applyBorder="1" applyAlignment="1">
      <alignment horizontal="center" vertical="center" wrapText="1"/>
    </xf>
    <xf numFmtId="0" fontId="0" fillId="0" borderId="69" xfId="0" applyFont="1" applyBorder="1" applyAlignment="1">
      <alignment horizontal="center" vertical="center" wrapText="1"/>
    </xf>
    <xf numFmtId="0" fontId="3" fillId="0" borderId="37" xfId="0" applyFont="1" applyBorder="1" applyAlignment="1">
      <alignment horizontal="right" vertical="top" wrapText="1"/>
    </xf>
    <xf numFmtId="0" fontId="3" fillId="0" borderId="29" xfId="0" applyFont="1" applyBorder="1" applyAlignment="1">
      <alignment horizontal="right" vertical="top" wrapText="1"/>
    </xf>
    <xf numFmtId="0" fontId="3" fillId="0" borderId="44" xfId="0" applyFont="1" applyBorder="1" applyAlignment="1">
      <alignment horizontal="right" vertical="top" wrapText="1"/>
    </xf>
    <xf numFmtId="0" fontId="4" fillId="4" borderId="56" xfId="0" applyFont="1" applyFill="1" applyBorder="1" applyAlignment="1" applyProtection="1">
      <alignment horizontal="left" vertical="center" wrapText="1"/>
    </xf>
    <xf numFmtId="0" fontId="4" fillId="4" borderId="57" xfId="0" applyFont="1" applyFill="1" applyBorder="1" applyAlignment="1" applyProtection="1">
      <alignment horizontal="left" vertical="center" wrapText="1"/>
    </xf>
    <xf numFmtId="0" fontId="4" fillId="4" borderId="58" xfId="0" applyFont="1" applyFill="1" applyBorder="1" applyAlignment="1" applyProtection="1">
      <alignment horizontal="left" vertical="center" wrapText="1"/>
    </xf>
    <xf numFmtId="0" fontId="19" fillId="0" borderId="5" xfId="0" applyFont="1" applyFill="1" applyBorder="1" applyAlignment="1">
      <alignment horizontal="left" vertical="top" wrapText="1"/>
    </xf>
    <xf numFmtId="0" fontId="19" fillId="0" borderId="5" xfId="0" applyFont="1" applyBorder="1" applyAlignment="1">
      <alignment horizontal="left" vertical="top" wrapText="1"/>
    </xf>
    <xf numFmtId="0" fontId="0" fillId="0" borderId="34" xfId="0" applyBorder="1" applyAlignment="1">
      <alignment horizontal="left" vertical="center" wrapText="1" indent="2"/>
    </xf>
    <xf numFmtId="0" fontId="8" fillId="0" borderId="5" xfId="0" applyFont="1" applyBorder="1" applyAlignment="1">
      <alignment horizontal="left" vertical="top" wrapText="1"/>
    </xf>
    <xf numFmtId="0" fontId="3" fillId="0" borderId="14" xfId="0" applyFont="1" applyFill="1" applyBorder="1" applyAlignment="1">
      <alignment horizontal="right" vertical="top" wrapText="1"/>
    </xf>
    <xf numFmtId="0" fontId="3" fillId="0" borderId="0" xfId="0" applyFont="1" applyFill="1" applyBorder="1" applyAlignment="1">
      <alignment horizontal="right" vertical="top" wrapText="1"/>
    </xf>
    <xf numFmtId="0" fontId="3" fillId="0" borderId="14" xfId="0" applyFont="1" applyBorder="1" applyAlignment="1">
      <alignment horizontal="right" vertical="top" wrapText="1"/>
    </xf>
    <xf numFmtId="0" fontId="3" fillId="0" borderId="35" xfId="0" applyFont="1" applyFill="1" applyBorder="1" applyAlignment="1">
      <alignment horizontal="left" vertical="top"/>
    </xf>
    <xf numFmtId="0" fontId="3" fillId="0" borderId="0" xfId="0" applyFont="1" applyFill="1" applyBorder="1" applyAlignment="1">
      <alignment horizontal="left" vertical="top"/>
    </xf>
    <xf numFmtId="0" fontId="6" fillId="0" borderId="35" xfId="0" applyFont="1" applyFill="1" applyBorder="1" applyAlignment="1">
      <alignment horizontal="left" vertical="center" wrapText="1"/>
    </xf>
    <xf numFmtId="0" fontId="6" fillId="0" borderId="0" xfId="0" applyFont="1" applyFill="1" applyBorder="1" applyAlignment="1">
      <alignment horizontal="left" vertical="center" wrapText="1"/>
    </xf>
    <xf numFmtId="0" fontId="4" fillId="2" borderId="24" xfId="0" applyFont="1" applyFill="1" applyBorder="1" applyAlignment="1" applyProtection="1">
      <alignment horizontal="left" vertical="center" wrapText="1"/>
    </xf>
    <xf numFmtId="0" fontId="4" fillId="2" borderId="23" xfId="0" applyFont="1" applyFill="1" applyBorder="1" applyAlignment="1" applyProtection="1">
      <alignment horizontal="left" vertical="center" wrapText="1"/>
    </xf>
    <xf numFmtId="0" fontId="4" fillId="2" borderId="22" xfId="0" applyFont="1" applyFill="1" applyBorder="1" applyAlignment="1" applyProtection="1">
      <alignment horizontal="left" vertical="center" wrapText="1"/>
    </xf>
    <xf numFmtId="0" fontId="4" fillId="0" borderId="48" xfId="0" applyFont="1" applyBorder="1" applyAlignment="1" applyProtection="1">
      <alignment horizontal="right" vertical="center" wrapText="1"/>
    </xf>
    <xf numFmtId="0" fontId="4" fillId="0" borderId="49" xfId="0" applyFont="1" applyBorder="1" applyAlignment="1" applyProtection="1">
      <alignment horizontal="right" vertical="center" wrapText="1"/>
    </xf>
    <xf numFmtId="0" fontId="3" fillId="0" borderId="0" xfId="0" applyFont="1" applyFill="1" applyBorder="1" applyAlignment="1">
      <alignment horizontal="left" vertical="top" wrapText="1"/>
    </xf>
    <xf numFmtId="0" fontId="4" fillId="2" borderId="33" xfId="0" applyFont="1" applyFill="1" applyBorder="1" applyAlignment="1" applyProtection="1">
      <alignment horizontal="left" vertical="top" wrapText="1"/>
    </xf>
    <xf numFmtId="0" fontId="10" fillId="7" borderId="66" xfId="0" applyFont="1" applyFill="1" applyBorder="1" applyAlignment="1" applyProtection="1">
      <alignment horizontal="left" vertical="top" wrapText="1"/>
    </xf>
    <xf numFmtId="0" fontId="10" fillId="7" borderId="28" xfId="0" applyFont="1" applyFill="1" applyBorder="1" applyAlignment="1" applyProtection="1">
      <alignment horizontal="left" vertical="top" wrapText="1"/>
    </xf>
    <xf numFmtId="0" fontId="3" fillId="0" borderId="35" xfId="0" applyFont="1" applyBorder="1" applyAlignment="1">
      <alignment horizontal="left" vertical="top" wrapText="1"/>
    </xf>
    <xf numFmtId="0" fontId="3" fillId="0" borderId="35" xfId="0" applyFont="1" applyFill="1" applyBorder="1" applyAlignment="1">
      <alignment horizontal="left" vertical="top" wrapText="1"/>
    </xf>
    <xf numFmtId="0" fontId="6" fillId="0" borderId="0" xfId="0" applyFont="1" applyFill="1" applyBorder="1" applyAlignment="1">
      <alignment horizontal="left" vertical="top"/>
    </xf>
    <xf numFmtId="0" fontId="0" fillId="0" borderId="0" xfId="0" applyAlignment="1">
      <alignment horizontal="left" vertical="top"/>
    </xf>
    <xf numFmtId="0" fontId="6" fillId="0" borderId="0" xfId="0" applyFont="1" applyFill="1" applyBorder="1" applyAlignment="1">
      <alignment horizontal="left" vertical="top" wrapText="1"/>
    </xf>
    <xf numFmtId="0" fontId="0" fillId="0" borderId="33" xfId="0" applyFont="1" applyFill="1" applyBorder="1" applyAlignment="1" applyProtection="1">
      <alignment horizontal="right" vertical="top"/>
      <protection hidden="1"/>
    </xf>
    <xf numFmtId="0" fontId="3" fillId="2" borderId="66" xfId="0" applyFont="1" applyFill="1" applyBorder="1" applyAlignment="1">
      <alignment horizontal="center" vertical="top" wrapText="1"/>
    </xf>
    <xf numFmtId="0" fontId="3" fillId="2" borderId="28" xfId="0" applyFont="1" applyFill="1" applyBorder="1" applyAlignment="1">
      <alignment horizontal="center" vertical="top" wrapText="1"/>
    </xf>
    <xf numFmtId="0" fontId="0" fillId="0" borderId="33" xfId="0" applyFont="1" applyFill="1" applyBorder="1" applyAlignment="1">
      <alignment vertical="top" wrapText="1"/>
    </xf>
    <xf numFmtId="0" fontId="0" fillId="0" borderId="33" xfId="0" applyFont="1" applyFill="1" applyBorder="1" applyAlignment="1">
      <alignment vertical="top"/>
    </xf>
    <xf numFmtId="0" fontId="6" fillId="0" borderId="0" xfId="0" applyFont="1" applyFill="1" applyAlignment="1">
      <alignment horizontal="left" vertical="top" wrapText="1"/>
    </xf>
    <xf numFmtId="0" fontId="12" fillId="2" borderId="56" xfId="0" applyFont="1" applyFill="1" applyBorder="1" applyAlignment="1" applyProtection="1">
      <alignment horizontal="left"/>
    </xf>
    <xf numFmtId="0" fontId="12" fillId="2" borderId="57" xfId="0" applyFont="1" applyFill="1" applyBorder="1" applyAlignment="1" applyProtection="1">
      <alignment horizontal="left"/>
    </xf>
    <xf numFmtId="0" fontId="12" fillId="2" borderId="58" xfId="0" applyFont="1" applyFill="1" applyBorder="1" applyAlignment="1" applyProtection="1">
      <alignment horizontal="left"/>
    </xf>
    <xf numFmtId="0" fontId="3" fillId="0" borderId="50" xfId="0" applyFont="1" applyBorder="1" applyAlignment="1" applyProtection="1">
      <alignment horizontal="left"/>
    </xf>
    <xf numFmtId="0" fontId="3" fillId="0" borderId="67" xfId="0" applyFont="1" applyBorder="1" applyAlignment="1" applyProtection="1">
      <alignment horizontal="left"/>
    </xf>
    <xf numFmtId="0" fontId="3" fillId="0" borderId="68" xfId="0" applyFont="1" applyBorder="1" applyAlignment="1" applyProtection="1">
      <alignment horizontal="left"/>
    </xf>
    <xf numFmtId="0" fontId="3" fillId="0" borderId="36" xfId="0" applyFont="1" applyBorder="1" applyAlignment="1" applyProtection="1">
      <alignment horizontal="left"/>
    </xf>
    <xf numFmtId="0" fontId="3" fillId="0" borderId="35" xfId="0" applyFont="1" applyBorder="1" applyAlignment="1" applyProtection="1">
      <alignment horizontal="left"/>
    </xf>
    <xf numFmtId="0" fontId="3" fillId="0" borderId="59" xfId="0" applyFont="1" applyBorder="1" applyAlignment="1" applyProtection="1">
      <alignment horizontal="left"/>
    </xf>
    <xf numFmtId="0" fontId="3" fillId="0" borderId="36" xfId="0" applyFont="1" applyFill="1" applyBorder="1" applyAlignment="1" applyProtection="1">
      <alignment horizontal="left"/>
    </xf>
    <xf numFmtId="0" fontId="3" fillId="0" borderId="35" xfId="0" applyFont="1" applyFill="1" applyBorder="1" applyAlignment="1" applyProtection="1">
      <alignment horizontal="left"/>
    </xf>
    <xf numFmtId="0" fontId="3" fillId="0" borderId="59" xfId="0" applyFont="1" applyFill="1" applyBorder="1" applyAlignment="1" applyProtection="1">
      <alignment horizontal="left"/>
    </xf>
    <xf numFmtId="0" fontId="12" fillId="0" borderId="36" xfId="0" applyFont="1" applyFill="1" applyBorder="1" applyAlignment="1" applyProtection="1">
      <alignment horizontal="left"/>
    </xf>
    <xf numFmtId="0" fontId="12" fillId="0" borderId="35" xfId="0" applyFont="1" applyFill="1" applyBorder="1" applyAlignment="1" applyProtection="1">
      <alignment horizontal="left"/>
    </xf>
    <xf numFmtId="0" fontId="12" fillId="0" borderId="59" xfId="0" applyFont="1" applyFill="1" applyBorder="1" applyAlignment="1" applyProtection="1">
      <alignment horizontal="left"/>
    </xf>
    <xf numFmtId="0" fontId="6" fillId="0" borderId="105" xfId="0" applyFont="1" applyBorder="1" applyAlignment="1">
      <alignment horizontal="right"/>
    </xf>
    <xf numFmtId="0" fontId="6" fillId="0" borderId="106" xfId="0" applyFont="1" applyBorder="1" applyAlignment="1">
      <alignment horizontal="right"/>
    </xf>
    <xf numFmtId="0" fontId="3" fillId="0" borderId="0" xfId="0" applyFont="1" applyBorder="1" applyAlignment="1">
      <alignment horizontal="left" vertical="top" wrapText="1"/>
    </xf>
    <xf numFmtId="0" fontId="3" fillId="0" borderId="0" xfId="0" applyFont="1" applyBorder="1" applyAlignment="1">
      <alignment horizontal="left" vertical="top"/>
    </xf>
    <xf numFmtId="0" fontId="3" fillId="0" borderId="0" xfId="0" applyFont="1" applyBorder="1" applyAlignment="1" applyProtection="1">
      <alignment horizontal="left" vertical="top"/>
    </xf>
    <xf numFmtId="0" fontId="6" fillId="0" borderId="0" xfId="0" applyFont="1" applyBorder="1" applyAlignment="1">
      <alignment horizontal="left" vertical="top" wrapText="1"/>
    </xf>
    <xf numFmtId="0" fontId="30" fillId="0" borderId="0" xfId="0" applyFont="1" applyAlignment="1" applyProtection="1">
      <alignment horizontal="left" vertical="top" wrapText="1"/>
    </xf>
    <xf numFmtId="0" fontId="4" fillId="2" borderId="21" xfId="0" applyFont="1" applyFill="1" applyBorder="1" applyAlignment="1" applyProtection="1">
      <alignment horizontal="left" vertical="top" wrapText="1"/>
    </xf>
    <xf numFmtId="0" fontId="4" fillId="2" borderId="20" xfId="0" applyFont="1" applyFill="1" applyBorder="1" applyAlignment="1" applyProtection="1">
      <alignment horizontal="left" vertical="top" wrapText="1"/>
    </xf>
    <xf numFmtId="0" fontId="4" fillId="2" borderId="25" xfId="0" applyFont="1" applyFill="1" applyBorder="1" applyAlignment="1" applyProtection="1">
      <alignment horizontal="left" vertical="top" wrapText="1"/>
    </xf>
    <xf numFmtId="0" fontId="6" fillId="0" borderId="0" xfId="0" applyFont="1" applyAlignment="1" applyProtection="1">
      <alignment horizontal="left" vertical="top" wrapText="1"/>
    </xf>
    <xf numFmtId="0" fontId="9" fillId="0" borderId="0" xfId="4" applyAlignment="1" applyProtection="1">
      <alignment horizontal="left" vertical="top" wrapText="1"/>
    </xf>
    <xf numFmtId="0" fontId="0" fillId="0" borderId="0" xfId="0" applyAlignment="1" applyProtection="1">
      <alignment horizontal="left" vertical="top" wrapText="1"/>
    </xf>
    <xf numFmtId="0" fontId="23" fillId="5" borderId="16" xfId="0" applyFont="1" applyFill="1" applyBorder="1" applyAlignment="1" applyProtection="1">
      <alignment vertical="top"/>
    </xf>
    <xf numFmtId="0" fontId="23" fillId="5" borderId="14" xfId="0" applyFont="1" applyFill="1" applyBorder="1" applyAlignment="1" applyProtection="1">
      <alignment vertical="top"/>
    </xf>
    <xf numFmtId="0" fontId="2" fillId="5" borderId="10" xfId="0" applyFont="1" applyFill="1" applyBorder="1" applyAlignment="1" applyProtection="1">
      <alignment horizontal="center" vertical="center"/>
    </xf>
    <xf numFmtId="0" fontId="2" fillId="5" borderId="0" xfId="0" applyFont="1" applyFill="1" applyBorder="1" applyAlignment="1" applyProtection="1">
      <alignment horizontal="center" vertical="center"/>
    </xf>
    <xf numFmtId="0" fontId="2" fillId="5" borderId="10" xfId="0" applyFont="1" applyFill="1" applyBorder="1" applyAlignment="1" applyProtection="1">
      <alignment horizontal="center" vertical="center" wrapText="1"/>
    </xf>
    <xf numFmtId="0" fontId="2" fillId="5" borderId="0" xfId="0" applyFont="1" applyFill="1" applyBorder="1" applyAlignment="1" applyProtection="1">
      <alignment horizontal="center" vertical="center" wrapText="1"/>
    </xf>
    <xf numFmtId="0" fontId="3" fillId="3" borderId="80" xfId="0" applyFont="1" applyFill="1" applyBorder="1" applyAlignment="1" applyProtection="1">
      <alignment horizontal="left" vertical="center"/>
    </xf>
    <xf numFmtId="0" fontId="3" fillId="3" borderId="79" xfId="0" applyFont="1" applyFill="1" applyBorder="1" applyAlignment="1" applyProtection="1">
      <alignment horizontal="left" vertical="center"/>
    </xf>
    <xf numFmtId="0" fontId="3" fillId="3" borderId="81" xfId="0" applyFont="1" applyFill="1" applyBorder="1" applyAlignment="1" applyProtection="1">
      <alignment horizontal="left" vertical="center"/>
    </xf>
    <xf numFmtId="0" fontId="6" fillId="0" borderId="37" xfId="0" applyFont="1" applyBorder="1" applyAlignment="1">
      <alignment horizontal="left" vertical="top"/>
    </xf>
    <xf numFmtId="0" fontId="6" fillId="0" borderId="29" xfId="0" applyFont="1" applyBorder="1" applyAlignment="1">
      <alignment horizontal="left" vertical="top"/>
    </xf>
    <xf numFmtId="0" fontId="6" fillId="0" borderId="112" xfId="0" applyFont="1" applyBorder="1" applyAlignment="1">
      <alignment horizontal="left" vertical="top"/>
    </xf>
    <xf numFmtId="0" fontId="11" fillId="0" borderId="0" xfId="0" applyFont="1" applyBorder="1" applyAlignment="1" applyProtection="1">
      <alignment horizontal="left" vertical="top" wrapText="1"/>
    </xf>
    <xf numFmtId="0" fontId="48" fillId="0" borderId="0" xfId="4" applyFont="1" applyBorder="1" applyAlignment="1" applyProtection="1">
      <alignment horizontal="left" vertical="top" wrapText="1"/>
    </xf>
    <xf numFmtId="0" fontId="3" fillId="0" borderId="113" xfId="0" applyFont="1" applyBorder="1" applyAlignment="1" applyProtection="1">
      <alignment horizontal="left"/>
    </xf>
    <xf numFmtId="0" fontId="3" fillId="0" borderId="114" xfId="0" applyFont="1" applyBorder="1" applyAlignment="1" applyProtection="1">
      <alignment horizontal="left"/>
    </xf>
    <xf numFmtId="0" fontId="47" fillId="0" borderId="0" xfId="0" applyFont="1" applyFill="1" applyBorder="1" applyAlignment="1" applyProtection="1">
      <alignment horizontal="left" vertical="top" wrapText="1"/>
    </xf>
    <xf numFmtId="0" fontId="48" fillId="0" borderId="0" xfId="4" applyFont="1" applyAlignment="1" applyProtection="1">
      <alignment horizontal="left" vertical="top" wrapText="1"/>
    </xf>
    <xf numFmtId="0" fontId="35" fillId="0" borderId="0" xfId="0" applyFont="1" applyAlignment="1">
      <alignment horizontal="left" vertical="top" wrapText="1"/>
    </xf>
    <xf numFmtId="0" fontId="11" fillId="0" borderId="0" xfId="0" applyFont="1" applyAlignment="1">
      <alignment horizontal="left" vertical="top" wrapText="1"/>
    </xf>
    <xf numFmtId="0" fontId="0" fillId="0" borderId="0" xfId="0" applyFont="1" applyAlignment="1">
      <alignment horizontal="left" vertical="top"/>
    </xf>
    <xf numFmtId="0" fontId="0" fillId="0" borderId="0" xfId="0" applyAlignment="1">
      <alignment horizontal="left" wrapText="1"/>
    </xf>
    <xf numFmtId="0" fontId="0" fillId="0" borderId="0" xfId="0" applyAlignment="1">
      <alignment vertical="center"/>
    </xf>
    <xf numFmtId="0" fontId="0" fillId="0" borderId="0" xfId="0" applyAlignment="1">
      <alignment horizontal="left" indent="5"/>
    </xf>
    <xf numFmtId="0" fontId="0" fillId="0" borderId="0" xfId="0" applyAlignment="1">
      <alignment horizontal="left" vertical="center" indent="5"/>
    </xf>
    <xf numFmtId="0" fontId="0" fillId="0" borderId="0" xfId="0" applyAlignment="1">
      <alignment horizontal="left" vertical="top" indent="5"/>
    </xf>
    <xf numFmtId="0" fontId="55" fillId="0" borderId="0" xfId="0" applyFont="1" applyBorder="1" applyAlignment="1">
      <alignment horizontal="center" vertical="top" wrapText="1"/>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colors>
    <mruColors>
      <color rgb="FFDF1738"/>
      <color rgb="FF217CFF"/>
      <color rgb="FFFF1919"/>
      <color rgb="FFFFCCFF"/>
      <color rgb="FF2C4D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5</xdr:col>
      <xdr:colOff>133836</xdr:colOff>
      <xdr:row>3</xdr:row>
      <xdr:rowOff>164464</xdr:rowOff>
    </xdr:from>
    <xdr:to>
      <xdr:col>8</xdr:col>
      <xdr:colOff>23345</xdr:colOff>
      <xdr:row>8</xdr:row>
      <xdr:rowOff>53337</xdr:rowOff>
    </xdr:to>
    <xdr:pic>
      <xdr:nvPicPr>
        <xdr:cNvPr id="5" name="Picture 4">
          <a:extLst>
            <a:ext uri="{FF2B5EF4-FFF2-40B4-BE49-F238E27FC236}">
              <a16:creationId xmlns:a16="http://schemas.microsoft.com/office/drawing/2014/main" id="{0A33A6E9-D685-4A4D-8211-897C19C3CEB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81593" y="738765"/>
          <a:ext cx="1864546" cy="846043"/>
        </a:xfrm>
        <a:prstGeom prst="rect">
          <a:avLst/>
        </a:prstGeom>
      </xdr:spPr>
    </xdr:pic>
    <xdr:clientData/>
  </xdr:twoCellAnchor>
  <xdr:twoCellAnchor editAs="oneCell">
    <xdr:from>
      <xdr:col>0</xdr:col>
      <xdr:colOff>462642</xdr:colOff>
      <xdr:row>0</xdr:row>
      <xdr:rowOff>189035</xdr:rowOff>
    </xdr:from>
    <xdr:to>
      <xdr:col>3</xdr:col>
      <xdr:colOff>422933</xdr:colOff>
      <xdr:row>11</xdr:row>
      <xdr:rowOff>81344</xdr:rowOff>
    </xdr:to>
    <xdr:pic>
      <xdr:nvPicPr>
        <xdr:cNvPr id="4" name="Picture 3">
          <a:extLst>
            <a:ext uri="{FF2B5EF4-FFF2-40B4-BE49-F238E27FC236}">
              <a16:creationId xmlns:a16="http://schemas.microsoft.com/office/drawing/2014/main" id="{AF8ADD80-473B-48C7-88F9-F52927A1812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642" y="189035"/>
          <a:ext cx="1991357" cy="19980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cms.gov/Research-Statistics-Data-and-Systems/Statistics-Trends-and-Reports/NationalHealthExpendData/NationalHealthAccountsStateHealthAccountsResidence.html"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www.qualityindicators.ahrq.gov/Downloads/Modules/PDI/V50/TechSpecs/PDI_14_Asthma_Admission_Rate.pdf" TargetMode="External"/><Relationship Id="rId7" Type="http://schemas.openxmlformats.org/officeDocument/2006/relationships/printerSettings" Target="../printerSettings/printerSettings13.bin"/><Relationship Id="rId2" Type="http://schemas.openxmlformats.org/officeDocument/2006/relationships/hyperlink" Target="https://www.medicaid.gov/medicaid/quality-of-care/downloads/medicaid-adult-core-set-manual.pdf" TargetMode="External"/><Relationship Id="rId1" Type="http://schemas.openxmlformats.org/officeDocument/2006/relationships/hyperlink" Target="https://www.cms.gov/Medicare/Quality-Initiatives-Patient-Assessment-Instruments/QualityInitiativesGenInfo/Downloads/2017_QRS-Measure_Technical_Specifications.pdf" TargetMode="External"/><Relationship Id="rId6" Type="http://schemas.openxmlformats.org/officeDocument/2006/relationships/hyperlink" Target="http://www.qualityforum.org/QPS/QPSTool.aspx?m=367&amp;e=1" TargetMode="External"/><Relationship Id="rId5" Type="http://schemas.openxmlformats.org/officeDocument/2006/relationships/hyperlink" Target="http://www.qualityforum.org/Projects/c-d/Cost_and_Resource_Project/Phase_3_Final_Report.aspx" TargetMode="External"/><Relationship Id="rId4" Type="http://schemas.openxmlformats.org/officeDocument/2006/relationships/hyperlink" Target="https://www.aaaai.org/Aaaai/media/MediaLibrary/PDF%20Documents/Practice%20Resources/AAAAI-PCPI-Measure_Asthma_Pharmacologic-Therapy-for-Persistent-Asthma.pdf"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www.dol.gov/owcp/regs/feeschedule/fee/feeSept3017/Effective_September_30_2017_CCR.htm" TargetMode="External"/><Relationship Id="rId2" Type="http://schemas.openxmlformats.org/officeDocument/2006/relationships/hyperlink" Target="https://www.cms.gov/research-statistics-data-and-systems/statistics-trends-and-reports/nationalhealthexpenddata/nationalhealthaccountsprojected.html" TargetMode="External"/><Relationship Id="rId1" Type="http://schemas.openxmlformats.org/officeDocument/2006/relationships/hyperlink" Target="https://www.kff.org/health-costs/state-indicator/expenses-per-inpatient-day/?currentTimeframe=0&amp;sortModel=%7B%22colId%22:%22Location%22,%22sort%22:%22asc%22%7D" TargetMode="External"/><Relationship Id="rId4"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bls.gov/oes/current/oes211094.ht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8"/>
  <sheetViews>
    <sheetView showGridLines="0" showRowColHeaders="0" tabSelected="1" showRuler="0" view="pageLayout" zoomScale="150" zoomScaleNormal="100" zoomScaleSheetLayoutView="100" zoomScalePageLayoutView="150" workbookViewId="0">
      <selection activeCell="A14" sqref="A14:I14"/>
    </sheetView>
  </sheetViews>
  <sheetFormatPr defaultRowHeight="15"/>
  <cols>
    <col min="1" max="1" width="9.140625" style="241"/>
    <col min="2" max="2" width="10" style="241" customWidth="1"/>
    <col min="9" max="9" width="7.85546875" customWidth="1"/>
  </cols>
  <sheetData>
    <row r="1" spans="1:9">
      <c r="A1" s="242"/>
      <c r="B1" s="242"/>
      <c r="C1" s="243"/>
      <c r="D1" s="243"/>
    </row>
    <row r="2" spans="1:9">
      <c r="A2" s="242"/>
      <c r="B2" s="242"/>
      <c r="C2" s="243"/>
      <c r="D2" s="243"/>
    </row>
    <row r="3" spans="1:9">
      <c r="A3" s="242"/>
      <c r="B3" s="242"/>
      <c r="C3" s="243"/>
      <c r="D3" s="243"/>
    </row>
    <row r="4" spans="1:9">
      <c r="A4" s="242"/>
      <c r="B4" s="242"/>
      <c r="C4" s="243"/>
      <c r="D4" s="243"/>
    </row>
    <row r="5" spans="1:9">
      <c r="A5" s="242"/>
      <c r="B5" s="242"/>
      <c r="C5" s="243"/>
      <c r="D5" s="243"/>
    </row>
    <row r="6" spans="1:9">
      <c r="A6" s="242"/>
      <c r="B6" s="242"/>
      <c r="C6" s="243"/>
      <c r="D6" s="243"/>
    </row>
    <row r="7" spans="1:9">
      <c r="A7" s="242"/>
      <c r="B7" s="242"/>
      <c r="C7" s="243"/>
      <c r="D7" s="243"/>
    </row>
    <row r="8" spans="1:9">
      <c r="A8" s="242"/>
      <c r="B8" s="242"/>
      <c r="C8" s="243"/>
      <c r="D8" s="243"/>
    </row>
    <row r="9" spans="1:9">
      <c r="A9" s="242"/>
      <c r="B9" s="242"/>
      <c r="C9" s="243"/>
      <c r="D9" s="243"/>
    </row>
    <row r="10" spans="1:9">
      <c r="A10" s="242"/>
      <c r="B10" s="242"/>
      <c r="C10" s="243"/>
      <c r="D10" s="243"/>
    </row>
    <row r="11" spans="1:9">
      <c r="A11" s="242"/>
      <c r="B11" s="242"/>
      <c r="C11" s="243"/>
      <c r="D11" s="243"/>
    </row>
    <row r="12" spans="1:9">
      <c r="A12" s="242"/>
      <c r="B12" s="242"/>
      <c r="C12" s="243"/>
      <c r="D12" s="243"/>
    </row>
    <row r="13" spans="1:9">
      <c r="A13" s="242"/>
      <c r="B13" s="242"/>
      <c r="C13" s="243"/>
      <c r="D13" s="243"/>
    </row>
    <row r="14" spans="1:9" ht="26.25">
      <c r="A14" s="561" t="s">
        <v>316</v>
      </c>
      <c r="B14" s="391"/>
      <c r="C14" s="391"/>
      <c r="D14" s="391"/>
      <c r="E14" s="391"/>
      <c r="F14" s="391"/>
      <c r="G14" s="391"/>
      <c r="H14" s="391"/>
      <c r="I14" s="391"/>
    </row>
    <row r="15" spans="1:9" ht="21" customHeight="1">
      <c r="A15" s="264"/>
      <c r="B15" s="264"/>
      <c r="C15" s="265"/>
      <c r="D15" s="265"/>
      <c r="E15" s="8"/>
      <c r="F15" s="8"/>
      <c r="G15" s="8"/>
      <c r="H15" s="8"/>
      <c r="I15" s="8"/>
    </row>
    <row r="16" spans="1:9" ht="20.25">
      <c r="A16" s="396" t="s">
        <v>317</v>
      </c>
      <c r="B16" s="396"/>
      <c r="C16" s="396"/>
      <c r="D16" s="396"/>
      <c r="E16" s="396"/>
      <c r="F16" s="396"/>
      <c r="G16" s="396"/>
      <c r="H16" s="396"/>
      <c r="I16" s="396"/>
    </row>
    <row r="17" spans="1:9">
      <c r="A17" s="242"/>
      <c r="B17" s="242"/>
      <c r="C17" s="243"/>
      <c r="D17" s="243"/>
    </row>
    <row r="18" spans="1:9">
      <c r="A18" s="242"/>
      <c r="B18" s="242"/>
      <c r="C18" s="243"/>
      <c r="D18" s="243"/>
    </row>
    <row r="19" spans="1:9">
      <c r="A19" s="242"/>
      <c r="B19" s="242"/>
      <c r="C19" s="243"/>
      <c r="D19" s="243"/>
    </row>
    <row r="20" spans="1:9" ht="26.25">
      <c r="A20" s="392" t="s">
        <v>264</v>
      </c>
      <c r="B20" s="392"/>
      <c r="C20" s="392"/>
      <c r="D20" s="392"/>
      <c r="E20" s="392"/>
      <c r="F20" s="392"/>
      <c r="G20" s="392"/>
      <c r="H20" s="392"/>
      <c r="I20" s="392"/>
    </row>
    <row r="21" spans="1:9" ht="18.75">
      <c r="A21" s="242"/>
      <c r="B21" s="244"/>
      <c r="C21" s="243"/>
      <c r="D21" s="243"/>
    </row>
    <row r="22" spans="1:9" ht="18.75">
      <c r="A22" s="242"/>
      <c r="B22" s="244"/>
      <c r="C22" s="243"/>
      <c r="D22" s="243"/>
    </row>
    <row r="23" spans="1:9" ht="26.25">
      <c r="A23" s="392" t="s">
        <v>239</v>
      </c>
      <c r="B23" s="392"/>
      <c r="C23" s="392"/>
      <c r="D23" s="392"/>
      <c r="E23" s="392"/>
      <c r="F23" s="392"/>
      <c r="G23" s="392"/>
      <c r="H23" s="392"/>
      <c r="I23" s="392"/>
    </row>
    <row r="24" spans="1:9" ht="18.75">
      <c r="A24" s="242"/>
      <c r="B24" s="244"/>
      <c r="C24" s="243"/>
      <c r="D24" s="243"/>
    </row>
    <row r="25" spans="1:9" ht="26.25">
      <c r="A25" s="392" t="s">
        <v>240</v>
      </c>
      <c r="B25" s="392"/>
      <c r="C25" s="392"/>
      <c r="D25" s="392"/>
      <c r="E25" s="392"/>
      <c r="F25" s="392"/>
      <c r="G25" s="392"/>
      <c r="H25" s="392"/>
      <c r="I25" s="392"/>
    </row>
    <row r="26" spans="1:9">
      <c r="A26" s="242"/>
      <c r="B26" s="242"/>
      <c r="C26" s="243"/>
      <c r="D26" s="243"/>
    </row>
    <row r="27" spans="1:9">
      <c r="A27" s="242"/>
      <c r="B27" s="242"/>
      <c r="C27" s="243"/>
      <c r="D27" s="243"/>
    </row>
    <row r="28" spans="1:9" ht="25.9" customHeight="1">
      <c r="A28" s="392" t="s">
        <v>265</v>
      </c>
      <c r="B28" s="392"/>
      <c r="C28" s="392"/>
      <c r="D28" s="392"/>
      <c r="E28" s="392"/>
      <c r="F28" s="392"/>
      <c r="G28" s="392"/>
      <c r="H28" s="392"/>
      <c r="I28" s="392"/>
    </row>
    <row r="31" spans="1:9" ht="15.75">
      <c r="A31" s="242"/>
      <c r="B31" s="245"/>
      <c r="C31" s="243"/>
      <c r="D31" s="243"/>
    </row>
    <row r="32" spans="1:9" ht="15.75">
      <c r="A32" s="246"/>
      <c r="B32" s="246"/>
      <c r="C32" s="246"/>
      <c r="D32" s="246"/>
      <c r="E32" s="246"/>
      <c r="F32" s="246"/>
    </row>
    <row r="33" spans="1:9" ht="15" customHeight="1">
      <c r="A33" s="242"/>
      <c r="B33" s="397" t="s">
        <v>318</v>
      </c>
      <c r="C33" s="397"/>
      <c r="D33" s="397"/>
      <c r="E33" s="397"/>
      <c r="F33" s="397"/>
      <c r="G33" s="397"/>
      <c r="H33" s="397"/>
    </row>
    <row r="34" spans="1:9" ht="48" customHeight="1">
      <c r="B34" s="397" t="s">
        <v>386</v>
      </c>
      <c r="C34" s="397"/>
      <c r="D34" s="397"/>
      <c r="E34" s="397"/>
      <c r="F34" s="397"/>
      <c r="G34" s="397"/>
      <c r="H34" s="397"/>
      <c r="I34" s="304"/>
    </row>
    <row r="35" spans="1:9" ht="15" customHeight="1">
      <c r="A35" s="304"/>
      <c r="B35" s="397"/>
      <c r="C35" s="397"/>
      <c r="D35" s="397"/>
      <c r="E35" s="397"/>
      <c r="F35" s="397"/>
      <c r="G35" s="397"/>
      <c r="H35" s="397"/>
      <c r="I35" s="304"/>
    </row>
    <row r="36" spans="1:9" ht="15" customHeight="1">
      <c r="A36" s="304"/>
      <c r="B36" s="304"/>
      <c r="C36" s="304"/>
      <c r="D36" s="304"/>
      <c r="E36" s="304"/>
      <c r="F36" s="304"/>
      <c r="G36" s="304"/>
      <c r="H36" s="304"/>
      <c r="I36" s="304"/>
    </row>
    <row r="37" spans="1:9" ht="15.75" thickBot="1"/>
    <row r="38" spans="1:9" s="263" customFormat="1" ht="22.9" customHeight="1" thickBot="1">
      <c r="A38" s="393" t="s">
        <v>266</v>
      </c>
      <c r="B38" s="394"/>
      <c r="C38" s="394"/>
      <c r="D38" s="394"/>
      <c r="E38" s="394"/>
      <c r="F38" s="394"/>
      <c r="G38" s="394"/>
      <c r="H38" s="394"/>
      <c r="I38" s="395"/>
    </row>
  </sheetData>
  <mergeCells count="9">
    <mergeCell ref="A14:I14"/>
    <mergeCell ref="A28:I28"/>
    <mergeCell ref="A38:I38"/>
    <mergeCell ref="A20:I20"/>
    <mergeCell ref="A23:I23"/>
    <mergeCell ref="A25:I25"/>
    <mergeCell ref="A16:I16"/>
    <mergeCell ref="B34:H35"/>
    <mergeCell ref="B33:H33"/>
  </mergeCells>
  <printOptions horizontalCentered="1"/>
  <pageMargins left="0.7" right="0.7" top="0.75" bottom="0.75" header="0.3" footer="0.3"/>
  <pageSetup paperSize="5" orientation="portrait" r:id="rId1"/>
  <headerFooter>
    <oddFooter>&amp;LTool Developed Date:  10/30/2018
Tool Run Date: &amp;D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55"/>
  <sheetViews>
    <sheetView showGridLines="0" showRuler="0" view="pageLayout" zoomScale="150" zoomScaleNormal="100" zoomScalePageLayoutView="150" workbookViewId="0">
      <selection sqref="A1:E1"/>
    </sheetView>
  </sheetViews>
  <sheetFormatPr defaultColWidth="10.140625" defaultRowHeight="15"/>
  <cols>
    <col min="1" max="1" width="26" customWidth="1"/>
    <col min="2" max="5" width="14.5703125" customWidth="1"/>
  </cols>
  <sheetData>
    <row r="1" spans="1:5" ht="138.75" customHeight="1">
      <c r="A1" s="506" t="s">
        <v>419</v>
      </c>
      <c r="B1" s="506"/>
      <c r="C1" s="506"/>
      <c r="D1" s="506"/>
      <c r="E1" s="506"/>
    </row>
    <row r="2" spans="1:5">
      <c r="A2" s="209" t="s">
        <v>176</v>
      </c>
      <c r="B2" s="89" t="s">
        <v>115</v>
      </c>
      <c r="C2" s="522" t="s">
        <v>177</v>
      </c>
      <c r="D2" s="523"/>
      <c r="E2" s="90">
        <v>2020</v>
      </c>
    </row>
    <row r="3" spans="1:5">
      <c r="A3" s="9"/>
    </row>
    <row r="4" spans="1:5">
      <c r="A4" s="407" t="s">
        <v>200</v>
      </c>
      <c r="B4" s="407"/>
      <c r="C4" s="407"/>
      <c r="D4" s="407"/>
      <c r="E4" s="407"/>
    </row>
    <row r="5" spans="1:5">
      <c r="A5" s="148" t="s">
        <v>199</v>
      </c>
      <c r="B5" s="86" t="s">
        <v>198</v>
      </c>
      <c r="C5" s="9"/>
      <c r="D5" s="9"/>
    </row>
    <row r="6" spans="1:5" ht="8.4499999999999993" customHeight="1">
      <c r="A6" s="24"/>
      <c r="B6" s="61"/>
      <c r="C6" s="88"/>
    </row>
    <row r="7" spans="1:5">
      <c r="A7" s="525" t="s">
        <v>213</v>
      </c>
      <c r="B7" s="525"/>
      <c r="C7" s="525"/>
      <c r="D7" s="525"/>
      <c r="E7" s="525"/>
    </row>
    <row r="8" spans="1:5" ht="28.9" customHeight="1">
      <c r="A8" s="110" t="s">
        <v>33</v>
      </c>
      <c r="B8" s="110"/>
      <c r="C8" s="110" t="s">
        <v>208</v>
      </c>
      <c r="D8" s="110" t="s">
        <v>178</v>
      </c>
      <c r="E8" s="110" t="s">
        <v>209</v>
      </c>
    </row>
    <row r="9" spans="1:5">
      <c r="A9" s="110"/>
      <c r="B9" s="110"/>
      <c r="C9" s="110" t="s">
        <v>214</v>
      </c>
      <c r="D9" s="110" t="str">
        <f>B2</f>
        <v>Connecticut</v>
      </c>
      <c r="E9" s="110" t="s">
        <v>214</v>
      </c>
    </row>
    <row r="10" spans="1:5">
      <c r="A10" s="272" t="s">
        <v>28</v>
      </c>
      <c r="B10" s="153"/>
      <c r="C10" s="207">
        <v>1768</v>
      </c>
      <c r="D10" s="154">
        <f>VLOOKUP(B2,Appendix!A7:B63,2,FALSE)</f>
        <v>0.33800000000000002</v>
      </c>
      <c r="E10" s="153">
        <f>C10*D10</f>
        <v>597.58400000000006</v>
      </c>
    </row>
    <row r="11" spans="1:5">
      <c r="A11" s="272" t="s">
        <v>105</v>
      </c>
      <c r="B11" s="153"/>
      <c r="C11" s="207">
        <v>26154</v>
      </c>
      <c r="D11" s="154">
        <f>VLOOKUP(B2,Appendix!A8:B64,2,FALSE)</f>
        <v>0.33800000000000002</v>
      </c>
      <c r="E11" s="153">
        <f t="shared" ref="E11:E12" si="0">C11*D11</f>
        <v>8840.0520000000015</v>
      </c>
    </row>
    <row r="12" spans="1:5">
      <c r="A12" s="272" t="s">
        <v>106</v>
      </c>
      <c r="B12" s="153"/>
      <c r="C12" s="207">
        <v>219</v>
      </c>
      <c r="D12" s="154">
        <f>VLOOKUP(B2,Appendix!A9:B65,2,FALSE)</f>
        <v>0.33800000000000002</v>
      </c>
      <c r="E12" s="153">
        <f t="shared" si="0"/>
        <v>74.022000000000006</v>
      </c>
    </row>
    <row r="13" spans="1:5">
      <c r="A13" s="24"/>
      <c r="B13" s="61"/>
      <c r="C13" s="88"/>
    </row>
    <row r="14" spans="1:5" ht="46.5" customHeight="1">
      <c r="A14" s="524" t="s">
        <v>425</v>
      </c>
      <c r="B14" s="524"/>
      <c r="C14" s="524"/>
      <c r="D14" s="524"/>
      <c r="E14" s="524"/>
    </row>
    <row r="15" spans="1:5" s="12" customFormat="1" ht="45">
      <c r="A15" s="110" t="s">
        <v>33</v>
      </c>
      <c r="B15" s="110" t="s">
        <v>208</v>
      </c>
      <c r="C15" s="110" t="s">
        <v>208</v>
      </c>
      <c r="D15" s="110" t="s">
        <v>178</v>
      </c>
      <c r="E15" s="110" t="s">
        <v>209</v>
      </c>
    </row>
    <row r="16" spans="1:5" s="12" customFormat="1">
      <c r="A16" s="110"/>
      <c r="B16" s="110" t="s">
        <v>206</v>
      </c>
      <c r="C16" s="110" t="str">
        <f>B2</f>
        <v>Connecticut</v>
      </c>
      <c r="D16" s="110" t="str">
        <f>B2</f>
        <v>Connecticut</v>
      </c>
      <c r="E16" s="110" t="str">
        <f>B2</f>
        <v>Connecticut</v>
      </c>
    </row>
    <row r="17" spans="1:5">
      <c r="A17" s="272" t="s">
        <v>28</v>
      </c>
      <c r="B17" s="153">
        <f>VLOOKUP(E2,Appendix!A5:B13,2,FALSE)</f>
        <v>1859.9732807759999</v>
      </c>
      <c r="C17" s="153">
        <f>VLOOKUP($B$2,Appendix!$A$22:$D$74,4,FALSE)*B17</f>
        <v>2130.246809026145</v>
      </c>
      <c r="D17" s="154">
        <f>VLOOKUP(B2,Appendix!A22:B74,2,FALSE)</f>
        <v>0.33800000000000002</v>
      </c>
      <c r="E17" s="153">
        <f>C17*D17</f>
        <v>720.02342145083708</v>
      </c>
    </row>
    <row r="18" spans="1:5">
      <c r="A18" s="272" t="s">
        <v>105</v>
      </c>
      <c r="B18" s="153">
        <f>VLOOKUP(E2,Appendix!C5:D13,2,FALSE)</f>
        <v>27510.493270103998</v>
      </c>
      <c r="C18" s="153">
        <f>VLOOKUP($B$2,Appendix!$A$22:$D$74,4,FALSE)*B18</f>
        <v>31508.055039868119</v>
      </c>
      <c r="D18" s="154">
        <f>VLOOKUP(B2,Appendix!A22:B74,2,FALSE)</f>
        <v>0.33800000000000002</v>
      </c>
      <c r="E18" s="153">
        <f t="shared" ref="E18:E19" si="1">C18*D18</f>
        <v>10649.722603475426</v>
      </c>
    </row>
    <row r="19" spans="1:5">
      <c r="A19" s="272" t="s">
        <v>106</v>
      </c>
      <c r="B19" s="153">
        <f>VLOOKUP('Medical Cost'!E2,Appendix!E5:F13,2,FALSE)</f>
        <v>230.88515205599998</v>
      </c>
      <c r="C19" s="153">
        <f>VLOOKUP($B$2,Appendix!$A$22:$D$74,4,FALSE)*B19</f>
        <v>264.43517415132362</v>
      </c>
      <c r="D19" s="154">
        <f>VLOOKUP(B2,Appendix!A22:B74,2,FALSE)</f>
        <v>0.33800000000000002</v>
      </c>
      <c r="E19" s="153">
        <f t="shared" si="1"/>
        <v>89.379088863147388</v>
      </c>
    </row>
    <row r="20" spans="1:5">
      <c r="A20" s="62"/>
      <c r="B20" s="62"/>
      <c r="C20" s="62"/>
      <c r="D20" s="62"/>
      <c r="E20" s="62"/>
    </row>
    <row r="21" spans="1:5">
      <c r="A21" s="95" t="s">
        <v>32</v>
      </c>
      <c r="B21" s="96" t="s">
        <v>21</v>
      </c>
      <c r="C21" s="96" t="s">
        <v>31</v>
      </c>
      <c r="D21" s="96" t="s">
        <v>30</v>
      </c>
      <c r="E21" s="97" t="s">
        <v>29</v>
      </c>
    </row>
    <row r="22" spans="1:5" ht="15.75" thickBot="1">
      <c r="A22" s="175"/>
      <c r="B22" s="176">
        <f>C22-1</f>
        <v>2019</v>
      </c>
      <c r="C22" s="176">
        <f>E2</f>
        <v>2020</v>
      </c>
      <c r="D22" s="176">
        <f>C22+1</f>
        <v>2021</v>
      </c>
      <c r="E22" s="177">
        <f>D22+1</f>
        <v>2022</v>
      </c>
    </row>
    <row r="23" spans="1:5" ht="15.75" thickBot="1">
      <c r="A23" s="507" t="s">
        <v>196</v>
      </c>
      <c r="B23" s="508"/>
      <c r="C23" s="508"/>
      <c r="D23" s="508"/>
      <c r="E23" s="509"/>
    </row>
    <row r="24" spans="1:5">
      <c r="A24" s="98"/>
      <c r="B24" s="99">
        <f>Caseload!D25</f>
        <v>188</v>
      </c>
      <c r="C24" s="99">
        <f>Caseload!D25</f>
        <v>188</v>
      </c>
      <c r="D24" s="99">
        <f>B24</f>
        <v>188</v>
      </c>
      <c r="E24" s="100">
        <f>B24</f>
        <v>188</v>
      </c>
    </row>
    <row r="25" spans="1:5">
      <c r="A25" s="510" t="s">
        <v>28</v>
      </c>
      <c r="B25" s="511"/>
      <c r="C25" s="511"/>
      <c r="D25" s="511"/>
      <c r="E25" s="512"/>
    </row>
    <row r="26" spans="1:5">
      <c r="A26" s="65" t="s">
        <v>26</v>
      </c>
      <c r="B26" s="155">
        <f>IF($B$5="Published Data",(('Outcomes A'!C31/'Medical Cost'!B24)*'Medical Cost'!E17),(('Outcomes A'!C31/'Medical Cost'!B24)*E10))</f>
        <v>1274.4414559679817</v>
      </c>
      <c r="C26" s="156"/>
      <c r="D26" s="157"/>
      <c r="E26" s="158"/>
    </row>
    <row r="27" spans="1:5">
      <c r="A27" s="65" t="s">
        <v>15</v>
      </c>
      <c r="B27" s="159"/>
      <c r="C27" s="155">
        <f>IF($B$5="Published Data",(('Outcomes A'!D31/'Medical Cost'!C24)*'Medical Cost'!E17),(('Outcomes A'!D31/'Medical Cost'!C24)*E10))</f>
        <v>662.70955710335045</v>
      </c>
      <c r="D27" s="155">
        <f>C27*1.05</f>
        <v>695.845034958518</v>
      </c>
      <c r="E27" s="160">
        <f>D27*1.05</f>
        <v>730.63728670644389</v>
      </c>
    </row>
    <row r="28" spans="1:5">
      <c r="A28" s="65" t="s">
        <v>201</v>
      </c>
      <c r="B28" s="161"/>
      <c r="C28" s="155">
        <f>IF($B$5="Published Data",(('Outcomes A'!D32/'Medical Cost'!C24)*'Medical Cost'!E17),(('Outcomes A'!D32/'Medical Cost'!C24)*E10))</f>
        <v>611.73189886463115</v>
      </c>
      <c r="D28" s="155">
        <f>C28*1.05</f>
        <v>642.31849380786275</v>
      </c>
      <c r="E28" s="160">
        <f>D28*1.05</f>
        <v>674.43441849825592</v>
      </c>
    </row>
    <row r="29" spans="1:5" ht="15.75" thickBot="1">
      <c r="A29" s="109" t="s">
        <v>25</v>
      </c>
      <c r="B29" s="162"/>
      <c r="C29" s="163">
        <f>C27-C28</f>
        <v>50.9776582387193</v>
      </c>
      <c r="D29" s="163">
        <f>D27-D28</f>
        <v>53.526541150655248</v>
      </c>
      <c r="E29" s="164">
        <f>E27-E28</f>
        <v>56.202868208187965</v>
      </c>
    </row>
    <row r="30" spans="1:5" ht="15.75" thickTop="1">
      <c r="A30" s="513" t="s">
        <v>27</v>
      </c>
      <c r="B30" s="514"/>
      <c r="C30" s="514"/>
      <c r="D30" s="514"/>
      <c r="E30" s="515"/>
    </row>
    <row r="31" spans="1:5">
      <c r="A31" s="65" t="s">
        <v>26</v>
      </c>
      <c r="B31" s="155">
        <f>IF($B$5="Published Data",(('Outcomes A'!C43/'Medical Cost'!B24)*'Medical Cost'!E18),(('Outcomes A'!C43/'Medical Cost'!B24)*E11))</f>
        <v>6496.3307881200099</v>
      </c>
      <c r="C31" s="156"/>
      <c r="D31" s="157"/>
      <c r="E31" s="158"/>
    </row>
    <row r="32" spans="1:5">
      <c r="A32" s="65" t="s">
        <v>15</v>
      </c>
      <c r="B32" s="159"/>
      <c r="C32" s="155">
        <f>IF($B$5="Published Data",(('Outcomes A'!D43/'Medical Cost'!C24)*'Medical Cost'!E18),(('Outcomes A'!D43/'Medical Cost'!C24)*E11))</f>
        <v>1948.8992364360026</v>
      </c>
      <c r="D32" s="155">
        <f>C32*1.05</f>
        <v>2046.3441982578029</v>
      </c>
      <c r="E32" s="160">
        <f>D32*1.05</f>
        <v>2148.661408170693</v>
      </c>
    </row>
    <row r="33" spans="1:5">
      <c r="A33" s="65" t="s">
        <v>201</v>
      </c>
      <c r="B33" s="161"/>
      <c r="C33" s="155">
        <f>IF($B$5="Published Data",(('Outcomes A'!D44/'Medical Cost'!C24)*'Medical Cost'!E18),(('Outcomes A'!D44/'Medical Cost'!C24)*E11))</f>
        <v>519.70646304960076</v>
      </c>
      <c r="D33" s="155">
        <f>C33*1.05</f>
        <v>545.69178620208083</v>
      </c>
      <c r="E33" s="160">
        <f>D33*1.05</f>
        <v>572.97637551218486</v>
      </c>
    </row>
    <row r="34" spans="1:5" ht="15.75" thickBot="1">
      <c r="A34" s="109" t="s">
        <v>25</v>
      </c>
      <c r="B34" s="162"/>
      <c r="C34" s="163">
        <f>C32-C33</f>
        <v>1429.1927733864018</v>
      </c>
      <c r="D34" s="163">
        <f>D32-D33</f>
        <v>1500.6524120557219</v>
      </c>
      <c r="E34" s="164">
        <f>E32-E33</f>
        <v>1575.6850326585081</v>
      </c>
    </row>
    <row r="35" spans="1:5" ht="15.75" thickTop="1">
      <c r="A35" s="516" t="s">
        <v>106</v>
      </c>
      <c r="B35" s="517"/>
      <c r="C35" s="517"/>
      <c r="D35" s="517"/>
      <c r="E35" s="518"/>
    </row>
    <row r="36" spans="1:5">
      <c r="A36" s="65" t="s">
        <v>26</v>
      </c>
      <c r="B36" s="155">
        <f>IF($B$5="Published Data",(('Outcomes A'!C37/'Medical Cost'!B24)*'Medical Cost'!E19),(('Outcomes A'!#REF!/'Medical Cost'!B24)*E12))</f>
        <v>244.00491259639236</v>
      </c>
      <c r="C36" s="156"/>
      <c r="D36" s="157"/>
      <c r="E36" s="158"/>
    </row>
    <row r="37" spans="1:5">
      <c r="A37" s="65" t="s">
        <v>15</v>
      </c>
      <c r="B37" s="159"/>
      <c r="C37" s="155">
        <f>IF($B$5="Published Data",(('Outcomes A'!D37/'Medical Cost'!C24)*'Medical Cost'!E19),(('Outcomes A'!D37/'Medical Cost'!C24)*E12))</f>
        <v>190.32383182518603</v>
      </c>
      <c r="D37" s="155">
        <f>C37*1.05</f>
        <v>199.84002341644535</v>
      </c>
      <c r="E37" s="160">
        <f>D37*1.05</f>
        <v>209.83202458726763</v>
      </c>
    </row>
    <row r="38" spans="1:5">
      <c r="A38" s="65" t="s">
        <v>201</v>
      </c>
      <c r="B38" s="161"/>
      <c r="C38" s="155">
        <f>IF($B$5="Published Data",(('Outcomes A'!D38/'Medical Cost'!C24)*'Medical Cost'!E19),(('Outcomes A'!D38/'Medical Cost'!C24)*E12))</f>
        <v>73.201473778917716</v>
      </c>
      <c r="D38" s="155">
        <f>C38*1.05</f>
        <v>76.861547467863602</v>
      </c>
      <c r="E38" s="160">
        <f>D38*1.05</f>
        <v>80.704624841256788</v>
      </c>
    </row>
    <row r="39" spans="1:5" ht="15.75" thickBot="1">
      <c r="A39" s="109" t="s">
        <v>25</v>
      </c>
      <c r="B39" s="162"/>
      <c r="C39" s="163">
        <f>C37-C38</f>
        <v>117.12235804626832</v>
      </c>
      <c r="D39" s="163">
        <f>D37-D38</f>
        <v>122.97847594858175</v>
      </c>
      <c r="E39" s="164">
        <f>E37-E38</f>
        <v>129.12739974601084</v>
      </c>
    </row>
    <row r="40" spans="1:5" ht="15.75" thickTop="1">
      <c r="A40" s="519" t="s">
        <v>24</v>
      </c>
      <c r="B40" s="520"/>
      <c r="C40" s="520"/>
      <c r="D40" s="520"/>
      <c r="E40" s="521"/>
    </row>
    <row r="41" spans="1:5">
      <c r="A41" s="102" t="s">
        <v>15</v>
      </c>
      <c r="B41" s="155">
        <f>B26+B31+B36</f>
        <v>8014.777156684384</v>
      </c>
      <c r="C41" s="155">
        <f>C27+C32+C37</f>
        <v>2801.932625364539</v>
      </c>
      <c r="D41" s="160">
        <f>D27+D32+D37</f>
        <v>2942.0292566327662</v>
      </c>
      <c r="E41" s="155">
        <f t="shared" ref="E41" si="2">E27+E32+E37</f>
        <v>3089.1307194644046</v>
      </c>
    </row>
    <row r="42" spans="1:5">
      <c r="A42" s="65" t="s">
        <v>201</v>
      </c>
      <c r="B42" s="155"/>
      <c r="C42" s="155">
        <f>C28+C33+C38</f>
        <v>1204.6398356931495</v>
      </c>
      <c r="D42" s="160">
        <f t="shared" ref="D42:E42" si="3">D28+D33+D38</f>
        <v>1264.8718274778071</v>
      </c>
      <c r="E42" s="155">
        <f t="shared" si="3"/>
        <v>1328.1154188516978</v>
      </c>
    </row>
    <row r="43" spans="1:5" ht="30.75" thickBot="1">
      <c r="A43" s="338" t="s">
        <v>23</v>
      </c>
      <c r="B43" s="163"/>
      <c r="C43" s="163">
        <f>C41-C42</f>
        <v>1597.2927896713895</v>
      </c>
      <c r="D43" s="164">
        <f>D41-D42</f>
        <v>1677.1574291549591</v>
      </c>
      <c r="E43" s="163">
        <f>E41-E42</f>
        <v>1761.0153006127068</v>
      </c>
    </row>
    <row r="44" spans="1:5" ht="15.75" thickBot="1">
      <c r="A44" s="165"/>
    </row>
    <row r="45" spans="1:5" ht="15.75" thickBot="1">
      <c r="A45" s="507" t="s">
        <v>268</v>
      </c>
      <c r="B45" s="508"/>
      <c r="C45" s="508"/>
      <c r="D45" s="508"/>
      <c r="E45" s="509"/>
    </row>
    <row r="46" spans="1:5">
      <c r="A46" s="101" t="s">
        <v>15</v>
      </c>
      <c r="B46" s="166">
        <f>B41*B24</f>
        <v>1506778.1054566642</v>
      </c>
      <c r="C46" s="167">
        <f>C41*C24</f>
        <v>526763.3335685333</v>
      </c>
      <c r="D46" s="167">
        <f>D41*D24</f>
        <v>553101.50024696009</v>
      </c>
      <c r="E46" s="168">
        <f>E41*E24</f>
        <v>580756.5752593081</v>
      </c>
    </row>
    <row r="47" spans="1:5">
      <c r="A47" s="65" t="s">
        <v>201</v>
      </c>
      <c r="B47" s="169"/>
      <c r="C47" s="170">
        <f>C42*C24</f>
        <v>226472.28911031212</v>
      </c>
      <c r="D47" s="170">
        <f t="shared" ref="D47:E47" si="4">D42*D24</f>
        <v>237795.90356582773</v>
      </c>
      <c r="E47" s="171">
        <f t="shared" si="4"/>
        <v>249685.69874411917</v>
      </c>
    </row>
    <row r="48" spans="1:5">
      <c r="A48" s="66" t="s">
        <v>22</v>
      </c>
      <c r="B48" s="172"/>
      <c r="C48" s="173">
        <f>C46-C47</f>
        <v>300291.04445822118</v>
      </c>
      <c r="D48" s="173">
        <f>D46-D47</f>
        <v>315305.59668113233</v>
      </c>
      <c r="E48" s="174">
        <f>E46-E47</f>
        <v>331070.87651518895</v>
      </c>
    </row>
    <row r="50" spans="1:5" ht="15" customHeight="1">
      <c r="A50" s="239"/>
      <c r="B50" s="239"/>
      <c r="C50" s="239"/>
      <c r="D50" s="239"/>
      <c r="E50" s="239"/>
    </row>
    <row r="51" spans="1:5" ht="50.25" customHeight="1">
      <c r="A51" s="438"/>
      <c r="B51" s="438"/>
      <c r="C51" s="438"/>
      <c r="D51" s="438"/>
      <c r="E51" s="438"/>
    </row>
    <row r="52" spans="1:5" ht="38.25" customHeight="1">
      <c r="A52" s="438"/>
      <c r="B52" s="438"/>
      <c r="C52" s="438"/>
      <c r="D52" s="438"/>
      <c r="E52" s="438"/>
    </row>
    <row r="53" spans="1:5">
      <c r="A53" s="12"/>
      <c r="B53" s="12"/>
      <c r="C53" s="12"/>
      <c r="D53" s="12"/>
      <c r="E53" s="12"/>
    </row>
    <row r="54" spans="1:5">
      <c r="A54" s="12"/>
      <c r="B54" s="12"/>
      <c r="C54" s="12"/>
      <c r="D54" s="12"/>
      <c r="E54" s="12"/>
    </row>
    <row r="55" spans="1:5">
      <c r="A55" s="12"/>
      <c r="B55" s="12"/>
      <c r="C55" s="12"/>
      <c r="D55" s="12"/>
      <c r="E55" s="12"/>
    </row>
  </sheetData>
  <sheetProtection sheet="1" formatCells="0" formatColumns="0" formatRows="0" insertColumns="0" insertRows="0" insertHyperlinks="0" deleteColumns="0" deleteRows="0"/>
  <mergeCells count="13">
    <mergeCell ref="A1:E1"/>
    <mergeCell ref="A52:E52"/>
    <mergeCell ref="A23:E23"/>
    <mergeCell ref="A45:E45"/>
    <mergeCell ref="A25:E25"/>
    <mergeCell ref="A30:E30"/>
    <mergeCell ref="A35:E35"/>
    <mergeCell ref="A40:E40"/>
    <mergeCell ref="A4:E4"/>
    <mergeCell ref="C2:D2"/>
    <mergeCell ref="A14:E14"/>
    <mergeCell ref="A7:E7"/>
    <mergeCell ref="A51:E51"/>
  </mergeCells>
  <printOptions horizontalCentered="1"/>
  <pageMargins left="0.7" right="0.7" top="0.75" bottom="0.75" header="0.3" footer="0.3"/>
  <pageSetup paperSize="5" scale="88" orientation="portrait" r:id="rId1"/>
  <headerFooter>
    <oddHeader>&amp;C&amp;"-,Bold"&amp;14Table 4: Medical Cost Projections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0000000}">
          <x14:formula1>
            <xm:f>Appendix!$A$87:$A$88</xm:f>
          </x14:formula1>
          <xm:sqref>B5</xm:sqref>
        </x14:dataValidation>
        <x14:dataValidation type="list" allowBlank="1" showInputMessage="1" showErrorMessage="1" xr:uid="{00000000-0002-0000-0900-000001000000}">
          <x14:formula1>
            <xm:f>Appendix!$A$5:$A$13</xm:f>
          </x14:formula1>
          <xm:sqref>E2</xm:sqref>
        </x14:dataValidation>
        <x14:dataValidation type="list" allowBlank="1" showInputMessage="1" showErrorMessage="1" xr:uid="{00000000-0002-0000-0900-000002000000}">
          <x14:formula1>
            <xm:f>Appendix!$A$22:$A$74</xm:f>
          </x14:formula1>
          <xm:sqref>B2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7"/>
  <sheetViews>
    <sheetView showGridLines="0" showRuler="0" view="pageLayout" zoomScale="150" zoomScaleNormal="100" zoomScalePageLayoutView="150" workbookViewId="0">
      <selection sqref="A1:D1"/>
    </sheetView>
  </sheetViews>
  <sheetFormatPr defaultRowHeight="15"/>
  <cols>
    <col min="1" max="1" width="39.85546875" customWidth="1"/>
    <col min="2" max="3" width="16.5703125" customWidth="1"/>
    <col min="4" max="4" width="16.85546875" bestFit="1" customWidth="1"/>
  </cols>
  <sheetData>
    <row r="1" spans="1:5" ht="62.25" customHeight="1">
      <c r="A1" s="414" t="s">
        <v>427</v>
      </c>
      <c r="B1" s="414"/>
      <c r="C1" s="414"/>
      <c r="D1" s="414"/>
      <c r="E1" s="197"/>
    </row>
    <row r="2" spans="1:5">
      <c r="A2" s="141"/>
      <c r="B2" s="141"/>
      <c r="C2" s="141"/>
      <c r="D2" s="141"/>
      <c r="E2" s="197"/>
    </row>
    <row r="3" spans="1:5" ht="15" customHeight="1">
      <c r="A3" s="149" t="s">
        <v>200</v>
      </c>
      <c r="B3" s="142"/>
      <c r="C3" s="142"/>
      <c r="D3" s="108"/>
    </row>
    <row r="4" spans="1:5" ht="15" customHeight="1">
      <c r="A4" s="148" t="s">
        <v>199</v>
      </c>
      <c r="B4" s="86" t="s">
        <v>198</v>
      </c>
      <c r="C4" s="9"/>
      <c r="D4" s="9"/>
      <c r="E4" s="63"/>
    </row>
    <row r="5" spans="1:5" ht="15" customHeight="1">
      <c r="A5" s="148"/>
      <c r="B5" s="198"/>
      <c r="C5" s="9"/>
      <c r="D5" s="9"/>
      <c r="E5" s="63"/>
    </row>
    <row r="6" spans="1:5" ht="15" customHeight="1">
      <c r="A6" s="525" t="s">
        <v>195</v>
      </c>
      <c r="B6" s="525"/>
      <c r="C6" s="525"/>
      <c r="D6" s="525"/>
      <c r="E6" s="63"/>
    </row>
    <row r="7" spans="1:5" ht="62.25" customHeight="1">
      <c r="A7" s="527" t="s">
        <v>269</v>
      </c>
      <c r="B7" s="527"/>
      <c r="C7" s="527"/>
      <c r="D7" s="527"/>
      <c r="E7" s="63"/>
    </row>
    <row r="8" spans="1:5" ht="60.75" customHeight="1">
      <c r="A8" s="87" t="s">
        <v>21</v>
      </c>
      <c r="B8" s="195" t="s">
        <v>212</v>
      </c>
      <c r="C8" s="195" t="s">
        <v>211</v>
      </c>
      <c r="D8" s="195" t="s">
        <v>196</v>
      </c>
      <c r="E8" s="63"/>
    </row>
    <row r="9" spans="1:5" ht="15" customHeight="1">
      <c r="A9" s="196" t="s">
        <v>180</v>
      </c>
      <c r="B9" s="86">
        <v>1.1000000000000001</v>
      </c>
      <c r="C9" s="274">
        <f>B9*D9*26</f>
        <v>5376.8</v>
      </c>
      <c r="D9" s="274">
        <f>Caseload!D25</f>
        <v>188</v>
      </c>
      <c r="E9" s="63"/>
    </row>
    <row r="10" spans="1:5" ht="30">
      <c r="A10" s="202" t="s">
        <v>179</v>
      </c>
      <c r="B10" s="86">
        <v>1.6</v>
      </c>
      <c r="C10" s="273">
        <f>B10*D10*26</f>
        <v>7820.8</v>
      </c>
      <c r="D10" s="273">
        <f>Caseload!D25</f>
        <v>188</v>
      </c>
      <c r="E10" s="63"/>
    </row>
    <row r="11" spans="1:5">
      <c r="A11" s="199"/>
      <c r="B11" s="200"/>
      <c r="C11" s="200"/>
      <c r="D11" s="201"/>
      <c r="E11" s="63"/>
    </row>
    <row r="12" spans="1:5">
      <c r="A12" s="526" t="s">
        <v>426</v>
      </c>
      <c r="B12" s="526"/>
      <c r="C12" s="526"/>
      <c r="D12" s="526"/>
      <c r="E12" s="63"/>
    </row>
    <row r="13" spans="1:5" ht="61.5" customHeight="1">
      <c r="A13" s="87" t="s">
        <v>21</v>
      </c>
      <c r="B13" s="195" t="s">
        <v>212</v>
      </c>
      <c r="C13" s="195" t="s">
        <v>211</v>
      </c>
      <c r="D13" s="195" t="s">
        <v>196</v>
      </c>
    </row>
    <row r="14" spans="1:5">
      <c r="A14" s="196" t="s">
        <v>180</v>
      </c>
      <c r="B14" s="208">
        <v>1.1000000000000001</v>
      </c>
      <c r="C14" s="205">
        <f>B14*26*D14</f>
        <v>5376.8</v>
      </c>
      <c r="D14" s="205">
        <f>Caseload!D25</f>
        <v>188</v>
      </c>
    </row>
    <row r="15" spans="1:5" ht="30">
      <c r="A15" s="196" t="s">
        <v>179</v>
      </c>
      <c r="B15" s="208">
        <v>1.6</v>
      </c>
      <c r="C15" s="205">
        <f>B15*26*D15</f>
        <v>7820.8</v>
      </c>
      <c r="D15" s="205">
        <f>Caseload!D25</f>
        <v>188</v>
      </c>
    </row>
    <row r="16" spans="1:5">
      <c r="A16" s="68"/>
      <c r="B16" s="69"/>
      <c r="C16" s="69"/>
      <c r="D16" s="69"/>
      <c r="E16" s="67"/>
    </row>
    <row r="17" spans="1:7">
      <c r="A17" s="111"/>
      <c r="B17" s="112" t="s">
        <v>74</v>
      </c>
      <c r="C17" s="113" t="s">
        <v>20</v>
      </c>
      <c r="D17" s="63"/>
    </row>
    <row r="18" spans="1:7">
      <c r="A18" s="114" t="s">
        <v>19</v>
      </c>
      <c r="B18" s="70">
        <f>Caseload!D25</f>
        <v>188</v>
      </c>
      <c r="C18" s="115">
        <f>Caseload!D25</f>
        <v>188</v>
      </c>
      <c r="D18" s="63"/>
    </row>
    <row r="19" spans="1:7" ht="15" customHeight="1" thickBot="1">
      <c r="A19" s="529" t="s">
        <v>181</v>
      </c>
      <c r="B19" s="530"/>
      <c r="C19" s="531"/>
      <c r="D19" s="63"/>
    </row>
    <row r="20" spans="1:7" ht="15.75" thickBot="1">
      <c r="A20" s="217" t="s">
        <v>73</v>
      </c>
      <c r="B20" s="218"/>
      <c r="C20" s="219"/>
      <c r="D20" s="63"/>
    </row>
    <row r="21" spans="1:7" ht="15.75" thickBot="1">
      <c r="A21" s="116" t="s">
        <v>98</v>
      </c>
      <c r="B21" s="228">
        <f>IF(B4="My own data", C9,C14)</f>
        <v>5376.8</v>
      </c>
      <c r="C21" s="231">
        <f>B21*0.91</f>
        <v>4892.8879999999999</v>
      </c>
      <c r="D21" s="63"/>
    </row>
    <row r="22" spans="1:7" ht="15.75" thickBot="1">
      <c r="A22" s="340" t="s">
        <v>102</v>
      </c>
      <c r="B22" s="229">
        <f>B21/B18</f>
        <v>28.6</v>
      </c>
      <c r="C22" s="232">
        <f>C21/C18</f>
        <v>26.026</v>
      </c>
      <c r="D22" s="63"/>
    </row>
    <row r="23" spans="1:7" ht="15.75" thickBot="1">
      <c r="A23" s="117" t="s">
        <v>100</v>
      </c>
      <c r="B23" s="229">
        <f>B21</f>
        <v>5376.8</v>
      </c>
      <c r="C23" s="231">
        <f>B21*0.59</f>
        <v>3172.3119999999999</v>
      </c>
      <c r="D23" s="63"/>
    </row>
    <row r="24" spans="1:7" ht="15.75" thickBot="1">
      <c r="A24" s="339" t="s">
        <v>102</v>
      </c>
      <c r="B24" s="229">
        <f>B22</f>
        <v>28.6</v>
      </c>
      <c r="C24" s="233">
        <f>C23/C18</f>
        <v>16.873999999999999</v>
      </c>
      <c r="D24" s="63"/>
    </row>
    <row r="25" spans="1:7" ht="15.75" customHeight="1" thickBot="1">
      <c r="A25" s="118" t="s">
        <v>101</v>
      </c>
      <c r="B25" s="230"/>
      <c r="C25" s="234">
        <f>C21-C23</f>
        <v>1720.576</v>
      </c>
      <c r="D25" s="63"/>
      <c r="G25" s="8"/>
    </row>
    <row r="26" spans="1:7" ht="15.75" customHeight="1" thickBot="1">
      <c r="A26" s="296" t="s">
        <v>102</v>
      </c>
      <c r="B26" s="297"/>
      <c r="C26" s="298">
        <f>C22-C24</f>
        <v>9.152000000000001</v>
      </c>
      <c r="D26" s="63"/>
      <c r="G26" s="8"/>
    </row>
    <row r="27" spans="1:7" ht="15.75" customHeight="1" thickTop="1" thickBot="1">
      <c r="A27" s="290"/>
      <c r="B27" s="289"/>
      <c r="C27" s="291"/>
      <c r="D27" s="292"/>
      <c r="G27" s="8"/>
    </row>
    <row r="28" spans="1:7" ht="15.75" customHeight="1" thickTop="1" thickBot="1">
      <c r="A28" s="293" t="s">
        <v>72</v>
      </c>
      <c r="B28" s="294"/>
      <c r="C28" s="295"/>
      <c r="D28" s="63"/>
      <c r="G28" s="8"/>
    </row>
    <row r="29" spans="1:7" ht="15.75" thickBot="1">
      <c r="A29" s="116" t="s">
        <v>98</v>
      </c>
      <c r="B29" s="228">
        <f>IF(B4="My own data", C10,C15)</f>
        <v>7820.8</v>
      </c>
      <c r="C29" s="231">
        <f>B29*0.87</f>
        <v>6804.0960000000005</v>
      </c>
      <c r="D29" s="63"/>
    </row>
    <row r="30" spans="1:7" ht="15.75" thickBot="1">
      <c r="A30" s="340" t="s">
        <v>99</v>
      </c>
      <c r="B30" s="229">
        <f>B29/B18</f>
        <v>41.6</v>
      </c>
      <c r="C30" s="233">
        <f>C29/C18</f>
        <v>36.192</v>
      </c>
      <c r="D30" s="63"/>
    </row>
    <row r="31" spans="1:7" ht="15.75" thickBot="1">
      <c r="A31" s="117" t="s">
        <v>100</v>
      </c>
      <c r="B31" s="229">
        <f>B29</f>
        <v>7820.8</v>
      </c>
      <c r="C31" s="231">
        <f>B29*0.57</f>
        <v>4457.8559999999998</v>
      </c>
      <c r="D31" s="63"/>
    </row>
    <row r="32" spans="1:7" ht="15.75" thickBot="1">
      <c r="A32" s="341" t="s">
        <v>99</v>
      </c>
      <c r="B32" s="229">
        <f>B30</f>
        <v>41.6</v>
      </c>
      <c r="C32" s="233">
        <f>C31/C18</f>
        <v>23.712</v>
      </c>
      <c r="D32" s="63"/>
    </row>
    <row r="33" spans="1:5" ht="15.75" thickBot="1">
      <c r="A33" s="118" t="s">
        <v>103</v>
      </c>
      <c r="B33" s="236"/>
      <c r="C33" s="234">
        <f>C29-C31</f>
        <v>2346.2400000000007</v>
      </c>
      <c r="D33" s="63"/>
    </row>
    <row r="34" spans="1:5" ht="15.75" thickBot="1">
      <c r="A34" s="342" t="s">
        <v>99</v>
      </c>
      <c r="B34" s="237"/>
      <c r="C34" s="235">
        <f>C30-C32</f>
        <v>12.48</v>
      </c>
      <c r="D34" s="63"/>
    </row>
    <row r="35" spans="1:5" ht="24.75" customHeight="1">
      <c r="A35" s="528"/>
      <c r="B35" s="528"/>
      <c r="C35" s="528"/>
      <c r="D35" s="528"/>
      <c r="E35" s="260"/>
    </row>
    <row r="36" spans="1:5">
      <c r="A36" s="260"/>
      <c r="B36" s="260"/>
      <c r="C36" s="260"/>
      <c r="D36" s="260"/>
      <c r="E36" s="260"/>
    </row>
    <row r="37" spans="1:5">
      <c r="A37" s="260"/>
      <c r="B37" s="260"/>
      <c r="C37" s="260"/>
      <c r="D37" s="260"/>
      <c r="E37" s="260"/>
    </row>
  </sheetData>
  <sheetProtection sheet="1" formatCells="0" formatColumns="0" formatRows="0" insertColumns="0" insertRows="0" insertHyperlinks="0" deleteColumns="0" deleteRows="0"/>
  <mergeCells count="6">
    <mergeCell ref="A12:D12"/>
    <mergeCell ref="A1:D1"/>
    <mergeCell ref="A6:D6"/>
    <mergeCell ref="A7:D7"/>
    <mergeCell ref="A35:D35"/>
    <mergeCell ref="A19:C19"/>
  </mergeCells>
  <dataValidations disablePrompts="1" count="2">
    <dataValidation type="decimal" allowBlank="1" showInputMessage="1" showErrorMessage="1" error="Must enter a value between 0.0 and 11.0." sqref="B14 B9" xr:uid="{00000000-0002-0000-0A00-000000000000}">
      <formula1>0</formula1>
      <formula2>11</formula2>
    </dataValidation>
    <dataValidation type="decimal" allowBlank="1" showInputMessage="1" showErrorMessage="1" error="Must enter a value between 0.0 and 16.0." sqref="B15 B10 D11" xr:uid="{00000000-0002-0000-0A00-000001000000}">
      <formula1>0</formula1>
      <formula2>16</formula2>
    </dataValidation>
  </dataValidations>
  <printOptions horizontalCentered="1"/>
  <pageMargins left="0.7" right="0.7" top="0.75" bottom="0.75" header="0.3" footer="0.3"/>
  <pageSetup paperSize="5" orientation="portrait" r:id="rId1"/>
  <headerFooter>
    <oddHeader xml:space="preserve">&amp;C&amp;"-,Bold"&amp;14Table 5: Social Return Projections </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A00-000002000000}">
          <x14:formula1>
            <xm:f>Appendix!$A$87:$A$88</xm:f>
          </x14:formula1>
          <xm:sqref>B4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E29"/>
  <sheetViews>
    <sheetView showGridLines="0" showRuler="0" view="pageLayout" zoomScale="150" zoomScaleNormal="100" zoomScalePageLayoutView="150" workbookViewId="0">
      <selection activeCell="A2" sqref="A2"/>
    </sheetView>
  </sheetViews>
  <sheetFormatPr defaultRowHeight="15"/>
  <cols>
    <col min="1" max="1" width="34" bestFit="1" customWidth="1"/>
    <col min="2" max="4" width="12.28515625" bestFit="1" customWidth="1"/>
    <col min="5" max="5" width="12.42578125" customWidth="1"/>
  </cols>
  <sheetData>
    <row r="1" spans="1:5" ht="30.75" customHeight="1">
      <c r="A1" s="532" t="s">
        <v>270</v>
      </c>
      <c r="B1" s="532"/>
      <c r="C1" s="532"/>
      <c r="D1" s="532"/>
      <c r="E1" s="532"/>
    </row>
    <row r="2" spans="1:5">
      <c r="A2" s="63"/>
      <c r="B2" s="63"/>
      <c r="C2" s="63"/>
      <c r="D2" s="63"/>
      <c r="E2" s="63"/>
    </row>
    <row r="3" spans="1:5">
      <c r="A3" s="535"/>
      <c r="B3" s="537" t="s">
        <v>20</v>
      </c>
      <c r="C3" s="539" t="s">
        <v>84</v>
      </c>
      <c r="D3" s="539" t="s">
        <v>83</v>
      </c>
      <c r="E3" s="113" t="s">
        <v>82</v>
      </c>
    </row>
    <row r="4" spans="1:5">
      <c r="A4" s="536"/>
      <c r="B4" s="538"/>
      <c r="C4" s="540"/>
      <c r="D4" s="540"/>
      <c r="E4" s="119" t="s">
        <v>81</v>
      </c>
    </row>
    <row r="5" spans="1:5" ht="15.75" thickBot="1">
      <c r="A5" s="120" t="s">
        <v>19</v>
      </c>
      <c r="B5" s="121">
        <f>Caseload!D25</f>
        <v>188</v>
      </c>
      <c r="C5" s="71">
        <f>Caseload!D25</f>
        <v>188</v>
      </c>
      <c r="D5" s="70">
        <f>Caseload!D25</f>
        <v>188</v>
      </c>
      <c r="E5" s="115">
        <f>SUM(B5:D5)</f>
        <v>564</v>
      </c>
    </row>
    <row r="6" spans="1:5" ht="15.75" thickBot="1">
      <c r="A6" s="541" t="s">
        <v>80</v>
      </c>
      <c r="B6" s="542"/>
      <c r="C6" s="542"/>
      <c r="D6" s="542"/>
      <c r="E6" s="543"/>
    </row>
    <row r="7" spans="1:5" ht="15.75" thickTop="1">
      <c r="A7" s="122" t="s">
        <v>79</v>
      </c>
      <c r="B7" s="123">
        <f>'Medical Cost'!C48</f>
        <v>300291.04445822118</v>
      </c>
      <c r="C7" s="123">
        <f>'Medical Cost'!D48</f>
        <v>315305.59668113233</v>
      </c>
      <c r="D7" s="123">
        <f>'Medical Cost'!E48</f>
        <v>331070.87651518895</v>
      </c>
      <c r="E7" s="124">
        <f>SUM(B7:D7)</f>
        <v>946667.51765454246</v>
      </c>
    </row>
    <row r="8" spans="1:5">
      <c r="A8" s="125" t="s">
        <v>78</v>
      </c>
      <c r="B8" s="126">
        <f>Budget!E47</f>
        <v>196123.45984000002</v>
      </c>
      <c r="C8" s="126">
        <f>Budget!E50</f>
        <v>199806.43401472003</v>
      </c>
      <c r="D8" s="126">
        <f>Budget!E51</f>
        <v>206400.0463372058</v>
      </c>
      <c r="E8" s="127">
        <f>SUM(B8:D8)</f>
        <v>602329.94019192585</v>
      </c>
    </row>
    <row r="9" spans="1:5">
      <c r="A9" s="131" t="s">
        <v>77</v>
      </c>
      <c r="B9" s="330">
        <f>(B7-B8)/B8</f>
        <v>0.53113270948412994</v>
      </c>
      <c r="C9" s="330">
        <f>(C7-C8)/C8</f>
        <v>0.57805527252392341</v>
      </c>
      <c r="D9" s="330">
        <f>(D7-D8)/D8</f>
        <v>0.60402520440476237</v>
      </c>
      <c r="E9" s="330">
        <f>(E7-E8)/E8</f>
        <v>0.57167601091338283</v>
      </c>
    </row>
    <row r="10" spans="1:5">
      <c r="A10" s="128" t="s">
        <v>76</v>
      </c>
      <c r="B10" s="129">
        <f>B7-B8</f>
        <v>104167.58461822115</v>
      </c>
      <c r="C10" s="129">
        <f>C7-C8</f>
        <v>115499.1626664123</v>
      </c>
      <c r="D10" s="129">
        <f>D7-D8</f>
        <v>124670.83017798315</v>
      </c>
      <c r="E10" s="130">
        <f>E7-E8</f>
        <v>344337.57746261661</v>
      </c>
    </row>
    <row r="11" spans="1:5">
      <c r="A11" s="63"/>
      <c r="B11" s="63"/>
      <c r="C11" s="63"/>
      <c r="D11" s="63"/>
      <c r="E11" s="63"/>
    </row>
    <row r="12" spans="1:5" ht="30.75" customHeight="1">
      <c r="A12" s="532" t="s">
        <v>357</v>
      </c>
      <c r="B12" s="532"/>
      <c r="C12" s="532"/>
      <c r="D12" s="532"/>
      <c r="E12" s="532"/>
    </row>
    <row r="13" spans="1:5" ht="32.25" customHeight="1">
      <c r="A13" s="533" t="s">
        <v>75</v>
      </c>
      <c r="B13" s="534"/>
      <c r="C13" s="534"/>
      <c r="D13" s="534"/>
      <c r="E13" s="534"/>
    </row>
    <row r="14" spans="1:5" ht="34.5" customHeight="1">
      <c r="A14" s="63"/>
      <c r="B14" s="63"/>
      <c r="C14" s="63"/>
      <c r="D14" s="63"/>
      <c r="E14" s="63"/>
    </row>
    <row r="15" spans="1:5">
      <c r="A15" s="63"/>
      <c r="B15" s="63"/>
      <c r="C15" s="63"/>
      <c r="D15" s="63"/>
      <c r="E15" s="63"/>
    </row>
    <row r="16" spans="1:5">
      <c r="A16" s="63"/>
      <c r="B16" s="63"/>
      <c r="C16" s="63"/>
      <c r="D16" s="63"/>
      <c r="E16" s="63"/>
    </row>
    <row r="17" spans="1:5">
      <c r="A17" s="63"/>
      <c r="B17" s="63"/>
      <c r="C17" s="63"/>
      <c r="D17" s="63"/>
      <c r="E17" s="63"/>
    </row>
    <row r="18" spans="1:5">
      <c r="A18" s="63"/>
      <c r="B18" s="63"/>
      <c r="C18" s="63"/>
      <c r="D18" s="63"/>
      <c r="E18" s="63"/>
    </row>
    <row r="19" spans="1:5">
      <c r="A19" s="63"/>
      <c r="B19" s="63"/>
      <c r="C19" s="63"/>
      <c r="D19" s="63"/>
      <c r="E19" s="63"/>
    </row>
    <row r="20" spans="1:5">
      <c r="A20" s="63"/>
      <c r="B20" s="63"/>
      <c r="C20" s="63"/>
      <c r="D20" s="63"/>
      <c r="E20" s="63"/>
    </row>
    <row r="21" spans="1:5">
      <c r="A21" s="63"/>
      <c r="B21" s="63"/>
      <c r="C21" s="63"/>
      <c r="D21" s="63"/>
      <c r="E21" s="63"/>
    </row>
    <row r="22" spans="1:5">
      <c r="A22" s="63"/>
      <c r="B22" s="63"/>
      <c r="C22" s="63"/>
      <c r="D22" s="63"/>
      <c r="E22" s="63"/>
    </row>
    <row r="23" spans="1:5">
      <c r="A23" s="63"/>
      <c r="B23" s="63"/>
      <c r="C23" s="63"/>
      <c r="D23" s="63"/>
      <c r="E23" s="63"/>
    </row>
    <row r="24" spans="1:5">
      <c r="A24" s="63"/>
      <c r="B24" s="63"/>
      <c r="C24" s="63"/>
      <c r="D24" s="63"/>
      <c r="E24" s="63"/>
    </row>
    <row r="25" spans="1:5">
      <c r="A25" s="63"/>
      <c r="B25" s="63"/>
      <c r="C25" s="63"/>
      <c r="D25" s="63"/>
      <c r="E25" s="63"/>
    </row>
    <row r="26" spans="1:5">
      <c r="A26" s="63"/>
      <c r="B26" s="63"/>
      <c r="C26" s="63"/>
      <c r="D26" s="63"/>
      <c r="E26" s="63"/>
    </row>
    <row r="27" spans="1:5">
      <c r="A27" s="63"/>
      <c r="B27" s="63"/>
      <c r="C27" s="63"/>
      <c r="D27" s="63"/>
      <c r="E27" s="63"/>
    </row>
    <row r="28" spans="1:5">
      <c r="A28" s="63"/>
      <c r="B28" s="63"/>
      <c r="C28" s="63"/>
      <c r="D28" s="63"/>
      <c r="E28" s="63"/>
    </row>
    <row r="29" spans="1:5">
      <c r="A29" s="63"/>
      <c r="B29" s="63"/>
      <c r="C29" s="63"/>
      <c r="D29" s="63"/>
      <c r="E29" s="63"/>
    </row>
  </sheetData>
  <sheetProtection sheet="1" formatCells="0" formatColumns="0" formatRows="0" insertColumns="0" insertRows="0" insertHyperlinks="0" deleteColumns="0" deleteRows="0"/>
  <mergeCells count="8">
    <mergeCell ref="A1:E1"/>
    <mergeCell ref="A13:E13"/>
    <mergeCell ref="A3:A4"/>
    <mergeCell ref="B3:B4"/>
    <mergeCell ref="C3:C4"/>
    <mergeCell ref="D3:D4"/>
    <mergeCell ref="A6:E6"/>
    <mergeCell ref="A12:E12"/>
  </mergeCells>
  <hyperlinks>
    <hyperlink ref="A13" r:id="rId1" xr:uid="{00000000-0004-0000-0B00-000000000000}"/>
  </hyperlinks>
  <printOptions horizontalCentered="1"/>
  <pageMargins left="0.7" right="0.7" top="0.75" bottom="0.75" header="0.3" footer="0.3"/>
  <pageSetup paperSize="5" orientation="portrait" r:id="rId2"/>
  <headerFooter>
    <oddHeader>&amp;C&amp;"-,Bold"&amp;14Table 6: Financial Return on Investment (ROI)</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16"/>
  <sheetViews>
    <sheetView showGridLines="0" showRuler="0" view="pageLayout" zoomScale="150" zoomScaleNormal="100" zoomScalePageLayoutView="150" workbookViewId="0">
      <selection sqref="A1:D1"/>
    </sheetView>
  </sheetViews>
  <sheetFormatPr defaultRowHeight="15"/>
  <cols>
    <col min="1" max="1" width="9.140625" style="17"/>
    <col min="2" max="2" width="43.28515625" customWidth="1"/>
    <col min="3" max="3" width="12.42578125" customWidth="1"/>
    <col min="4" max="4" width="24.42578125" bestFit="1" customWidth="1"/>
  </cols>
  <sheetData>
    <row r="1" spans="1:4" ht="46.5" customHeight="1">
      <c r="A1" s="414" t="s">
        <v>420</v>
      </c>
      <c r="B1" s="414"/>
      <c r="C1" s="414"/>
      <c r="D1" s="414"/>
    </row>
    <row r="3" spans="1:4" ht="30">
      <c r="A3" s="254" t="s">
        <v>94</v>
      </c>
      <c r="B3" s="255" t="s">
        <v>93</v>
      </c>
      <c r="C3" s="256" t="s">
        <v>92</v>
      </c>
      <c r="D3" s="256" t="s">
        <v>254</v>
      </c>
    </row>
    <row r="4" spans="1:4" ht="45">
      <c r="A4" s="377">
        <v>1799</v>
      </c>
      <c r="B4" s="378" t="s">
        <v>235</v>
      </c>
      <c r="C4" s="379"/>
      <c r="D4" s="257" t="s">
        <v>363</v>
      </c>
    </row>
    <row r="5" spans="1:4" ht="60">
      <c r="A5" s="377">
        <v>283</v>
      </c>
      <c r="B5" s="378" t="s">
        <v>236</v>
      </c>
      <c r="C5" s="379"/>
      <c r="D5" s="257" t="s">
        <v>359</v>
      </c>
    </row>
    <row r="6" spans="1:4" ht="30">
      <c r="A6" s="377"/>
      <c r="B6" s="18" t="s">
        <v>237</v>
      </c>
      <c r="C6" s="379"/>
      <c r="D6" s="258"/>
    </row>
    <row r="7" spans="1:4" ht="75">
      <c r="A7" s="377">
        <v>728</v>
      </c>
      <c r="B7" s="378" t="s">
        <v>238</v>
      </c>
      <c r="C7" s="379"/>
      <c r="D7" s="257" t="s">
        <v>360</v>
      </c>
    </row>
    <row r="8" spans="1:4">
      <c r="A8" s="377" t="s">
        <v>91</v>
      </c>
      <c r="B8" s="378" t="s">
        <v>90</v>
      </c>
      <c r="C8" s="379" t="s">
        <v>89</v>
      </c>
      <c r="D8" s="258"/>
    </row>
    <row r="9" spans="1:4" ht="105">
      <c r="A9" s="377">
        <v>47</v>
      </c>
      <c r="B9" s="378" t="s">
        <v>88</v>
      </c>
      <c r="C9" s="379" t="s">
        <v>87</v>
      </c>
      <c r="D9" s="257" t="s">
        <v>361</v>
      </c>
    </row>
    <row r="10" spans="1:4" ht="75">
      <c r="A10" s="377">
        <v>1560</v>
      </c>
      <c r="B10" s="378" t="s">
        <v>253</v>
      </c>
      <c r="C10" s="379" t="s">
        <v>85</v>
      </c>
      <c r="D10" s="257" t="s">
        <v>362</v>
      </c>
    </row>
    <row r="11" spans="1:4" ht="45">
      <c r="A11" s="380">
        <v>36</v>
      </c>
      <c r="B11" s="381" t="s">
        <v>86</v>
      </c>
      <c r="C11" s="382" t="s">
        <v>85</v>
      </c>
      <c r="D11" s="259" t="s">
        <v>421</v>
      </c>
    </row>
    <row r="13" spans="1:4">
      <c r="A13" s="238" t="s">
        <v>231</v>
      </c>
    </row>
    <row r="14" spans="1:4">
      <c r="A14" s="238" t="s">
        <v>232</v>
      </c>
    </row>
    <row r="15" spans="1:4">
      <c r="A15" s="238" t="s">
        <v>233</v>
      </c>
    </row>
    <row r="16" spans="1:4">
      <c r="A16" s="238" t="s">
        <v>234</v>
      </c>
    </row>
  </sheetData>
  <sheetProtection formatCells="0" formatColumns="0" formatRows="0" insertColumns="0" insertRows="0" insertHyperlinks="0" deleteColumns="0" deleteRows="0"/>
  <mergeCells count="1">
    <mergeCell ref="A1:D1"/>
  </mergeCells>
  <hyperlinks>
    <hyperlink ref="D4" r:id="rId1" display="Page 159" xr:uid="{00000000-0004-0000-0C00-000000000000}"/>
    <hyperlink ref="D5" r:id="rId2" display="Page 128" xr:uid="{00000000-0004-0000-0C00-000001000000}"/>
    <hyperlink ref="D7" r:id="rId3" display="AHRQ Technical Spec" xr:uid="{00000000-0004-0000-0C00-000002000000}"/>
    <hyperlink ref="D9" r:id="rId4" display="American Acad. of Allergy Asthma &amp; Immunology" xr:uid="{00000000-0004-0000-0C00-000003000000}"/>
    <hyperlink ref="D10" r:id="rId5" display="NQF: Page 14" xr:uid="{00000000-0004-0000-0C00-000004000000}"/>
    <hyperlink ref="D11" r:id="rId6" location="p=-1&amp;s=n&amp;so=a&amp;qpsPageState=%7B%22TabType%22%3A1,%22TabContentType%22%3A2,%22ItemsToCompare%22%3A%5B%5D,%22SearchCriteriaForStandard%22%3A%7B%22TaxonomyIDs%22%3A%5B%5D,%22SelectedTypeAheadFilterOption%22%3A%7B%22ID%22%3A367,%22FilterOptionLabel%22%3A%220036%22,%22TypeOfTypeAheadFilterOption%22%3A4,%22TaxonomyId%22%3A0%7D,%22Keyword%22%3A%220036%22,%22PageSize%22%3A%2225%22,%22OrderType%22%3A3,%22OrderBy%22%3A%22ASC%22,%22PageNo%22%3A1,%22IsExactMatch%22%3Afalse,%22QueryStringType%22%3A%22%22,%22ProjectActivityId%22%3A%220%22,%22FederalProgramYear%22%3A%220%22,%22FederalFiscalYear%22%3A%220%22,%22FilterTypes%22%3A0,%22EndorsementStatus%22%3A%22%22%7D,%22SelectedStandardIdList%22%3A%5B%5D,%22StandardID%22%3A367,%22EntityTypeID%22%3A1%7D" xr:uid="{A540F8B8-44B0-4871-A402-E54F2F386C05}"/>
  </hyperlinks>
  <printOptions horizontalCentered="1"/>
  <pageMargins left="0.7" right="0.7" top="0.75" bottom="0.75" header="0.3" footer="0.3"/>
  <pageSetup paperSize="5" orientation="portrait" r:id="rId7"/>
  <headerFooter>
    <oddHeader>&amp;C&amp;"-,Bold"&amp;14Table 7: Other Quality Measures</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27"/>
  <sheetViews>
    <sheetView showGridLines="0" showRuler="0" view="pageLayout" zoomScale="140" zoomScaleNormal="100" zoomScalePageLayoutView="140" workbookViewId="0">
      <selection sqref="A1:F1"/>
    </sheetView>
  </sheetViews>
  <sheetFormatPr defaultColWidth="9.140625" defaultRowHeight="15"/>
  <cols>
    <col min="1" max="6" width="14" customWidth="1"/>
  </cols>
  <sheetData>
    <row r="1" spans="1:6">
      <c r="A1" s="544" t="s">
        <v>364</v>
      </c>
      <c r="B1" s="545"/>
      <c r="C1" s="545"/>
      <c r="D1" s="545"/>
      <c r="E1" s="545"/>
      <c r="F1" s="546"/>
    </row>
    <row r="2" spans="1:6">
      <c r="A2" s="363"/>
      <c r="B2" s="243"/>
      <c r="C2" s="243"/>
      <c r="D2" s="243"/>
      <c r="E2" s="243"/>
      <c r="F2" s="364"/>
    </row>
    <row r="3" spans="1:6">
      <c r="A3" s="549" t="s">
        <v>107</v>
      </c>
      <c r="B3" s="514"/>
      <c r="C3" s="514"/>
      <c r="D3" s="514"/>
      <c r="E3" s="514"/>
      <c r="F3" s="550"/>
    </row>
    <row r="4" spans="1:6" ht="37.5" customHeight="1">
      <c r="A4" s="72" t="s">
        <v>104</v>
      </c>
      <c r="B4" s="249" t="s">
        <v>28</v>
      </c>
      <c r="C4" s="72" t="s">
        <v>104</v>
      </c>
      <c r="D4" s="249" t="s">
        <v>105</v>
      </c>
      <c r="E4" s="72" t="s">
        <v>104</v>
      </c>
      <c r="F4" s="249" t="s">
        <v>106</v>
      </c>
    </row>
    <row r="5" spans="1:6">
      <c r="A5" s="72">
        <v>2018</v>
      </c>
      <c r="B5" s="73">
        <v>1671.1109999999999</v>
      </c>
      <c r="C5" s="72">
        <v>2018</v>
      </c>
      <c r="D5" s="73">
        <v>24717.069</v>
      </c>
      <c r="E5" s="72">
        <v>2018</v>
      </c>
      <c r="F5" s="73">
        <v>207.44099999999997</v>
      </c>
    </row>
    <row r="6" spans="1:6">
      <c r="A6" s="72">
        <v>2019</v>
      </c>
      <c r="B6" s="73">
        <v>1758.0087719999999</v>
      </c>
      <c r="C6" s="72">
        <v>2019</v>
      </c>
      <c r="D6" s="73">
        <v>26002.356587999999</v>
      </c>
      <c r="E6" s="72">
        <v>2019</v>
      </c>
      <c r="F6" s="73">
        <v>218.22793199999998</v>
      </c>
    </row>
    <row r="7" spans="1:6">
      <c r="A7" s="72">
        <v>2020</v>
      </c>
      <c r="B7" s="73">
        <v>1859.9732807759999</v>
      </c>
      <c r="C7" s="72">
        <v>2020</v>
      </c>
      <c r="D7" s="73">
        <v>27510.493270103998</v>
      </c>
      <c r="E7" s="72">
        <v>2020</v>
      </c>
      <c r="F7" s="73">
        <v>230.88515205599998</v>
      </c>
    </row>
    <row r="8" spans="1:6">
      <c r="A8" s="72">
        <v>2021</v>
      </c>
      <c r="B8" s="73">
        <v>1964.131784499456</v>
      </c>
      <c r="C8" s="72">
        <v>2021</v>
      </c>
      <c r="D8" s="73">
        <v>29051.080893229821</v>
      </c>
      <c r="E8" s="72">
        <v>2021</v>
      </c>
      <c r="F8" s="73">
        <v>243.81472057113598</v>
      </c>
    </row>
    <row r="9" spans="1:6">
      <c r="A9" s="72">
        <v>2022</v>
      </c>
      <c r="B9" s="73">
        <v>2072.1590326469259</v>
      </c>
      <c r="C9" s="72">
        <v>2022</v>
      </c>
      <c r="D9" s="73">
        <v>30648.890342357463</v>
      </c>
      <c r="E9" s="72">
        <v>2022</v>
      </c>
      <c r="F9" s="73">
        <v>257.22453020254846</v>
      </c>
    </row>
    <row r="10" spans="1:6">
      <c r="A10" s="72">
        <v>2023</v>
      </c>
      <c r="B10" s="73">
        <v>2188.1999384751539</v>
      </c>
      <c r="C10" s="72">
        <v>2023</v>
      </c>
      <c r="D10" s="73">
        <v>32365.22820152948</v>
      </c>
      <c r="E10" s="72">
        <v>2023</v>
      </c>
      <c r="F10" s="73">
        <v>271.62910389389117</v>
      </c>
    </row>
    <row r="11" spans="1:6">
      <c r="A11" s="72">
        <v>2024</v>
      </c>
      <c r="B11" s="73">
        <v>2312.9273349682376</v>
      </c>
      <c r="C11" s="72">
        <v>2024</v>
      </c>
      <c r="D11" s="73">
        <v>34210.046209016662</v>
      </c>
      <c r="E11" s="72">
        <v>2024</v>
      </c>
      <c r="F11" s="73">
        <v>287.11196281584296</v>
      </c>
    </row>
    <row r="12" spans="1:6">
      <c r="A12" s="72">
        <v>2025</v>
      </c>
      <c r="B12" s="73">
        <v>2440.1383383914904</v>
      </c>
      <c r="C12" s="72">
        <v>2025</v>
      </c>
      <c r="D12" s="73">
        <v>36091.598750512574</v>
      </c>
      <c r="E12" s="72">
        <v>2025</v>
      </c>
      <c r="F12" s="73">
        <v>302.90312077071428</v>
      </c>
    </row>
    <row r="13" spans="1:6">
      <c r="A13" s="72">
        <v>2026</v>
      </c>
      <c r="B13" s="73">
        <v>2588.9867770333713</v>
      </c>
      <c r="C13" s="72">
        <v>2026</v>
      </c>
      <c r="D13" s="73">
        <v>38293.186274293839</v>
      </c>
      <c r="E13" s="72">
        <v>2026</v>
      </c>
      <c r="F13" s="73">
        <v>321.38021113772788</v>
      </c>
    </row>
    <row r="14" spans="1:6">
      <c r="A14" s="63"/>
      <c r="B14" s="63"/>
      <c r="C14" s="63"/>
      <c r="D14" s="63"/>
      <c r="E14" s="63"/>
      <c r="F14" s="63"/>
    </row>
    <row r="15" spans="1:6">
      <c r="A15" s="367" t="s">
        <v>365</v>
      </c>
      <c r="B15" s="63"/>
      <c r="C15" s="63"/>
      <c r="D15" s="63"/>
      <c r="E15" s="63"/>
      <c r="F15" s="63"/>
    </row>
    <row r="16" spans="1:6" ht="39" customHeight="1">
      <c r="A16" s="547" t="s">
        <v>315</v>
      </c>
      <c r="B16" s="547"/>
      <c r="C16" s="547"/>
      <c r="D16" s="547"/>
      <c r="E16" s="547"/>
      <c r="F16" s="547"/>
    </row>
    <row r="17" spans="1:6" ht="26.25" customHeight="1">
      <c r="A17" s="548" t="s">
        <v>314</v>
      </c>
      <c r="B17" s="547"/>
      <c r="C17" s="547"/>
      <c r="D17" s="547"/>
      <c r="E17" s="547"/>
      <c r="F17" s="547"/>
    </row>
    <row r="18" spans="1:6">
      <c r="A18" s="366"/>
      <c r="B18" s="365"/>
      <c r="C18" s="365"/>
      <c r="D18" s="365"/>
      <c r="E18" s="365"/>
      <c r="F18" s="365"/>
    </row>
    <row r="19" spans="1:6">
      <c r="A19" s="514" t="s">
        <v>202</v>
      </c>
      <c r="B19" s="514"/>
      <c r="C19" s="74"/>
      <c r="D19" s="63"/>
      <c r="E19" s="63"/>
      <c r="F19" s="63"/>
    </row>
    <row r="20" spans="1:6" s="50" customFormat="1" ht="60">
      <c r="A20" s="250" t="s">
        <v>108</v>
      </c>
      <c r="B20" s="250" t="s">
        <v>178</v>
      </c>
      <c r="C20" s="250" t="s">
        <v>243</v>
      </c>
      <c r="D20" s="250" t="s">
        <v>204</v>
      </c>
      <c r="E20" s="152"/>
    </row>
    <row r="21" spans="1:6" s="50" customFormat="1">
      <c r="A21" s="64" t="s">
        <v>206</v>
      </c>
      <c r="B21" s="75"/>
      <c r="C21" s="193">
        <v>2271</v>
      </c>
      <c r="D21" s="194">
        <f>C21/$C$21</f>
        <v>1</v>
      </c>
      <c r="E21" s="152"/>
    </row>
    <row r="22" spans="1:6">
      <c r="A22" s="64" t="s">
        <v>109</v>
      </c>
      <c r="B22" s="75">
        <v>0.30299999999999999</v>
      </c>
      <c r="C22" s="193">
        <v>1491</v>
      </c>
      <c r="D22" s="194">
        <f t="shared" ref="D22:D74" si="0">C22/$C$21</f>
        <v>0.65653896961690883</v>
      </c>
    </row>
    <row r="23" spans="1:6">
      <c r="A23" s="64" t="s">
        <v>110</v>
      </c>
      <c r="B23" s="75">
        <v>0.54100000000000004</v>
      </c>
      <c r="C23" s="193">
        <v>2161</v>
      </c>
      <c r="D23" s="194">
        <f t="shared" si="0"/>
        <v>0.95156318802289741</v>
      </c>
    </row>
    <row r="24" spans="1:6">
      <c r="A24" s="64" t="s">
        <v>111</v>
      </c>
      <c r="B24" s="75">
        <v>0.28999999999999998</v>
      </c>
      <c r="C24" s="193">
        <v>2485</v>
      </c>
      <c r="D24" s="194">
        <f t="shared" si="0"/>
        <v>1.0942316160281813</v>
      </c>
    </row>
    <row r="25" spans="1:6">
      <c r="A25" s="64" t="s">
        <v>112</v>
      </c>
      <c r="B25" s="75">
        <v>0.311</v>
      </c>
      <c r="C25" s="193">
        <v>1625</v>
      </c>
      <c r="D25" s="194">
        <f t="shared" si="0"/>
        <v>0.71554381329810657</v>
      </c>
    </row>
    <row r="26" spans="1:6">
      <c r="A26" s="64" t="s">
        <v>113</v>
      </c>
      <c r="B26" s="75">
        <v>0.24399999999999999</v>
      </c>
      <c r="C26" s="193">
        <v>3341</v>
      </c>
      <c r="D26" s="194">
        <f t="shared" si="0"/>
        <v>1.471158080140907</v>
      </c>
    </row>
    <row r="27" spans="1:6">
      <c r="A27" s="64" t="s">
        <v>114</v>
      </c>
      <c r="B27" s="75">
        <v>0.39500000000000002</v>
      </c>
      <c r="C27" s="193">
        <v>2721</v>
      </c>
      <c r="D27" s="194">
        <f t="shared" si="0"/>
        <v>1.1981505944517834</v>
      </c>
    </row>
    <row r="28" spans="1:6">
      <c r="A28" s="64" t="s">
        <v>115</v>
      </c>
      <c r="B28" s="75">
        <v>0.33800000000000002</v>
      </c>
      <c r="C28" s="193">
        <v>2601</v>
      </c>
      <c r="D28" s="194">
        <f t="shared" si="0"/>
        <v>1.1453104359313078</v>
      </c>
    </row>
    <row r="29" spans="1:6">
      <c r="A29" s="64" t="s">
        <v>116</v>
      </c>
      <c r="B29" s="75">
        <v>0.41799999999999998</v>
      </c>
      <c r="C29" s="193">
        <v>2814</v>
      </c>
      <c r="D29" s="194">
        <f t="shared" si="0"/>
        <v>1.239101717305152</v>
      </c>
    </row>
    <row r="30" spans="1:6">
      <c r="A30" s="64" t="s">
        <v>161</v>
      </c>
      <c r="B30" s="75">
        <v>0.28999999999999998</v>
      </c>
      <c r="C30" s="193">
        <v>2609</v>
      </c>
      <c r="D30" s="194">
        <f t="shared" si="0"/>
        <v>1.1488331131660061</v>
      </c>
    </row>
    <row r="31" spans="1:6">
      <c r="A31" s="64" t="s">
        <v>117</v>
      </c>
      <c r="B31" s="75">
        <v>0.218</v>
      </c>
      <c r="C31" s="193">
        <v>2087</v>
      </c>
      <c r="D31" s="194">
        <f t="shared" si="0"/>
        <v>0.91897842360193749</v>
      </c>
    </row>
    <row r="32" spans="1:6">
      <c r="A32" s="64" t="s">
        <v>118</v>
      </c>
      <c r="B32" s="75">
        <v>0.32300000000000001</v>
      </c>
      <c r="C32" s="193">
        <v>1665</v>
      </c>
      <c r="D32" s="194">
        <f t="shared" si="0"/>
        <v>0.73315719947159841</v>
      </c>
    </row>
    <row r="33" spans="1:4">
      <c r="A33" s="64" t="s">
        <v>119</v>
      </c>
      <c r="B33" s="75">
        <v>0.48499999999999999</v>
      </c>
      <c r="C33" s="193">
        <v>2349</v>
      </c>
      <c r="D33" s="194">
        <f t="shared" si="0"/>
        <v>1.0343461030383092</v>
      </c>
    </row>
    <row r="34" spans="1:4">
      <c r="A34" s="64" t="s">
        <v>120</v>
      </c>
      <c r="B34" s="75">
        <v>0.44</v>
      </c>
      <c r="C34" s="193">
        <v>2659</v>
      </c>
      <c r="D34" s="194">
        <f t="shared" si="0"/>
        <v>1.1708498458828709</v>
      </c>
    </row>
    <row r="35" spans="1:4">
      <c r="A35" s="64" t="s">
        <v>121</v>
      </c>
      <c r="B35" s="75">
        <v>0.315</v>
      </c>
      <c r="C35" s="193">
        <v>2394</v>
      </c>
      <c r="D35" s="194">
        <f t="shared" si="0"/>
        <v>1.0541611624834875</v>
      </c>
    </row>
    <row r="36" spans="1:4">
      <c r="A36" s="64" t="s">
        <v>122</v>
      </c>
      <c r="B36" s="75">
        <v>0.35</v>
      </c>
      <c r="C36" s="193">
        <v>2280</v>
      </c>
      <c r="D36" s="194">
        <f t="shared" si="0"/>
        <v>1.0039630118890357</v>
      </c>
    </row>
    <row r="37" spans="1:4">
      <c r="A37" s="64" t="s">
        <v>123</v>
      </c>
      <c r="B37" s="75">
        <v>0.35899999999999999</v>
      </c>
      <c r="C37" s="193">
        <v>1472</v>
      </c>
      <c r="D37" s="194">
        <f t="shared" si="0"/>
        <v>0.6481726111845002</v>
      </c>
    </row>
    <row r="38" spans="1:4">
      <c r="A38" s="64" t="s">
        <v>124</v>
      </c>
      <c r="B38" s="75">
        <v>0.35799999999999998</v>
      </c>
      <c r="C38" s="193">
        <v>1537</v>
      </c>
      <c r="D38" s="194">
        <f t="shared" si="0"/>
        <v>0.67679436371642443</v>
      </c>
    </row>
    <row r="39" spans="1:4">
      <c r="A39" s="64" t="s">
        <v>125</v>
      </c>
      <c r="B39" s="75">
        <v>0.28699999999999998</v>
      </c>
      <c r="C39" s="193">
        <v>1668</v>
      </c>
      <c r="D39" s="194">
        <f t="shared" si="0"/>
        <v>0.73447820343461034</v>
      </c>
    </row>
    <row r="40" spans="1:4">
      <c r="A40" s="64" t="s">
        <v>126</v>
      </c>
      <c r="B40" s="75">
        <v>0.32300000000000001</v>
      </c>
      <c r="C40" s="193">
        <v>1782</v>
      </c>
      <c r="D40" s="194">
        <f t="shared" si="0"/>
        <v>0.78467635402906211</v>
      </c>
    </row>
    <row r="41" spans="1:4">
      <c r="A41" s="64" t="s">
        <v>127</v>
      </c>
      <c r="B41" s="75">
        <v>0.442</v>
      </c>
      <c r="C41" s="193">
        <v>2327</v>
      </c>
      <c r="D41" s="194">
        <f t="shared" si="0"/>
        <v>1.0246587406428886</v>
      </c>
    </row>
    <row r="42" spans="1:4">
      <c r="A42" s="64" t="s">
        <v>128</v>
      </c>
      <c r="B42" s="75">
        <v>0.79300000000000004</v>
      </c>
      <c r="C42" s="193">
        <v>2514</v>
      </c>
      <c r="D42" s="194">
        <f t="shared" si="0"/>
        <v>1.1070013210039631</v>
      </c>
    </row>
    <row r="43" spans="1:4">
      <c r="A43" s="64" t="s">
        <v>129</v>
      </c>
      <c r="B43" s="75">
        <v>0.499</v>
      </c>
      <c r="C43" s="193">
        <v>2783</v>
      </c>
      <c r="D43" s="194">
        <f t="shared" si="0"/>
        <v>1.2254513430206957</v>
      </c>
    </row>
    <row r="44" spans="1:4">
      <c r="A44" s="64" t="s">
        <v>130</v>
      </c>
      <c r="B44" s="75">
        <v>0.39600000000000002</v>
      </c>
      <c r="C44" s="193">
        <v>2159</v>
      </c>
      <c r="D44" s="194">
        <f t="shared" si="0"/>
        <v>0.95068251871422282</v>
      </c>
    </row>
    <row r="45" spans="1:4">
      <c r="A45" s="64" t="s">
        <v>131</v>
      </c>
      <c r="B45" s="75">
        <v>0.53800000000000003</v>
      </c>
      <c r="C45" s="193">
        <v>2113</v>
      </c>
      <c r="D45" s="194">
        <f t="shared" si="0"/>
        <v>0.93042712461470722</v>
      </c>
    </row>
    <row r="46" spans="1:4">
      <c r="A46" s="64" t="s">
        <v>132</v>
      </c>
      <c r="B46" s="75">
        <v>0.307</v>
      </c>
      <c r="C46" s="193">
        <v>1343</v>
      </c>
      <c r="D46" s="194">
        <f t="shared" si="0"/>
        <v>0.59136944077498899</v>
      </c>
    </row>
    <row r="47" spans="1:4">
      <c r="A47" s="64" t="s">
        <v>133</v>
      </c>
      <c r="B47" s="75">
        <v>0.30299999999999999</v>
      </c>
      <c r="C47" s="193">
        <v>2179</v>
      </c>
      <c r="D47" s="194">
        <f t="shared" si="0"/>
        <v>0.95948921180096869</v>
      </c>
    </row>
    <row r="48" spans="1:4">
      <c r="A48" s="64" t="s">
        <v>134</v>
      </c>
      <c r="B48" s="75">
        <v>0.41299999999999998</v>
      </c>
      <c r="C48" s="193">
        <v>1284</v>
      </c>
      <c r="D48" s="194">
        <f t="shared" si="0"/>
        <v>0.56538969616908852</v>
      </c>
    </row>
    <row r="49" spans="1:5">
      <c r="A49" s="64" t="s">
        <v>135</v>
      </c>
      <c r="B49" s="75">
        <v>0.39600000000000002</v>
      </c>
      <c r="C49" s="193">
        <v>1758</v>
      </c>
      <c r="D49" s="194">
        <f t="shared" si="0"/>
        <v>0.77410832232496696</v>
      </c>
    </row>
    <row r="50" spans="1:5">
      <c r="A50" s="64" t="s">
        <v>136</v>
      </c>
      <c r="B50" s="75">
        <v>0.246</v>
      </c>
      <c r="C50" s="193">
        <v>1887</v>
      </c>
      <c r="D50" s="194">
        <f t="shared" si="0"/>
        <v>0.83091149273447817</v>
      </c>
    </row>
    <row r="51" spans="1:5">
      <c r="A51" s="64" t="s">
        <v>137</v>
      </c>
      <c r="B51" s="75">
        <v>0.38100000000000001</v>
      </c>
      <c r="C51" s="193">
        <v>2322</v>
      </c>
      <c r="D51" s="194">
        <f t="shared" si="0"/>
        <v>1.0224570673712021</v>
      </c>
    </row>
    <row r="52" spans="1:5">
      <c r="A52" s="64" t="s">
        <v>138</v>
      </c>
      <c r="B52" s="75">
        <v>0.17100000000000001</v>
      </c>
      <c r="C52" s="193">
        <v>2555</v>
      </c>
      <c r="D52" s="194">
        <f t="shared" si="0"/>
        <v>1.1250550418317922</v>
      </c>
    </row>
    <row r="53" spans="1:5">
      <c r="A53" s="64" t="s">
        <v>139</v>
      </c>
      <c r="B53" s="75">
        <v>0.308</v>
      </c>
      <c r="C53" s="193">
        <v>2442</v>
      </c>
      <c r="D53" s="194">
        <f t="shared" si="0"/>
        <v>1.0752972258916778</v>
      </c>
    </row>
    <row r="54" spans="1:5">
      <c r="A54" s="64" t="s">
        <v>140</v>
      </c>
      <c r="B54" s="75">
        <v>0.44700000000000001</v>
      </c>
      <c r="C54" s="193">
        <v>2475</v>
      </c>
      <c r="D54" s="194">
        <f t="shared" si="0"/>
        <v>1.0898282694848085</v>
      </c>
    </row>
    <row r="55" spans="1:5">
      <c r="A55" s="64" t="s">
        <v>141</v>
      </c>
      <c r="B55" s="75">
        <v>0.32400000000000001</v>
      </c>
      <c r="C55" s="193">
        <v>2010</v>
      </c>
      <c r="D55" s="194">
        <f t="shared" si="0"/>
        <v>0.88507265521796563</v>
      </c>
    </row>
    <row r="56" spans="1:5">
      <c r="A56" s="64" t="s">
        <v>142</v>
      </c>
      <c r="B56" s="75">
        <v>0.39300000000000002</v>
      </c>
      <c r="C56" s="193">
        <v>1726</v>
      </c>
      <c r="D56" s="194">
        <f t="shared" si="0"/>
        <v>0.76001761338617346</v>
      </c>
    </row>
    <row r="57" spans="1:5">
      <c r="A57" s="64" t="s">
        <v>143</v>
      </c>
      <c r="B57" s="75">
        <v>0.41399999999999998</v>
      </c>
      <c r="C57" s="193">
        <v>2608</v>
      </c>
      <c r="D57" s="194">
        <f t="shared" si="0"/>
        <v>1.1483927785116688</v>
      </c>
    </row>
    <row r="58" spans="1:5">
      <c r="A58" s="64" t="s">
        <v>144</v>
      </c>
      <c r="B58" s="75">
        <v>0.33500000000000002</v>
      </c>
      <c r="C58" s="193">
        <v>1798</v>
      </c>
      <c r="D58" s="194">
        <f t="shared" si="0"/>
        <v>0.7917217084984588</v>
      </c>
    </row>
    <row r="59" spans="1:5">
      <c r="A59" s="64" t="s">
        <v>145</v>
      </c>
      <c r="B59" s="75">
        <v>0.40600000000000003</v>
      </c>
      <c r="C59" s="193">
        <v>3368</v>
      </c>
      <c r="D59" s="194">
        <f t="shared" si="0"/>
        <v>1.4830471158080141</v>
      </c>
    </row>
    <row r="60" spans="1:5">
      <c r="A60" s="64" t="s">
        <v>146</v>
      </c>
      <c r="B60" s="75">
        <v>0.379</v>
      </c>
      <c r="C60" s="193">
        <v>2307</v>
      </c>
      <c r="D60" s="194">
        <f t="shared" si="0"/>
        <v>1.0158520475561428</v>
      </c>
    </row>
    <row r="61" spans="1:5">
      <c r="A61" s="64" t="s">
        <v>147</v>
      </c>
      <c r="B61" s="75">
        <v>0.56999999999999995</v>
      </c>
      <c r="C61" s="193"/>
      <c r="D61" s="194">
        <v>1</v>
      </c>
      <c r="E61" t="s">
        <v>207</v>
      </c>
    </row>
    <row r="62" spans="1:5">
      <c r="A62" s="64" t="s">
        <v>148</v>
      </c>
      <c r="B62" s="75">
        <v>0.34599999999999997</v>
      </c>
      <c r="C62" s="193">
        <v>2759</v>
      </c>
      <c r="D62" s="194">
        <f t="shared" si="0"/>
        <v>1.2148833113166007</v>
      </c>
    </row>
    <row r="63" spans="1:5">
      <c r="A63" s="64" t="s">
        <v>149</v>
      </c>
      <c r="B63" s="75">
        <v>0.29499999999999998</v>
      </c>
      <c r="C63" s="193">
        <v>1938</v>
      </c>
      <c r="D63" s="194">
        <f t="shared" si="0"/>
        <v>0.8533685601056803</v>
      </c>
    </row>
    <row r="64" spans="1:5">
      <c r="A64" s="64" t="s">
        <v>150</v>
      </c>
      <c r="B64" s="75">
        <v>0.35899999999999999</v>
      </c>
      <c r="C64" s="193">
        <v>1218</v>
      </c>
      <c r="D64" s="194">
        <f t="shared" si="0"/>
        <v>0.53632760898282694</v>
      </c>
    </row>
    <row r="65" spans="1:6">
      <c r="A65" s="64" t="s">
        <v>151</v>
      </c>
      <c r="B65" s="75">
        <v>0.29199999999999998</v>
      </c>
      <c r="C65" s="193">
        <v>1704</v>
      </c>
      <c r="D65" s="194">
        <f t="shared" si="0"/>
        <v>0.75033025099075301</v>
      </c>
    </row>
    <row r="66" spans="1:6">
      <c r="A66" s="64" t="s">
        <v>152</v>
      </c>
      <c r="B66" s="75">
        <v>0.31900000000000001</v>
      </c>
      <c r="C66" s="193">
        <v>2292</v>
      </c>
      <c r="D66" s="194">
        <f t="shared" si="0"/>
        <v>1.0092470277410832</v>
      </c>
    </row>
    <row r="67" spans="1:6">
      <c r="A67" s="64" t="s">
        <v>153</v>
      </c>
      <c r="B67" s="75">
        <v>0.45500000000000002</v>
      </c>
      <c r="C67" s="193">
        <v>2612</v>
      </c>
      <c r="D67" s="194">
        <f t="shared" si="0"/>
        <v>1.1501541171290182</v>
      </c>
    </row>
    <row r="68" spans="1:6">
      <c r="A68" s="64" t="s">
        <v>154</v>
      </c>
      <c r="B68" s="75">
        <v>0.55500000000000005</v>
      </c>
      <c r="C68" s="193">
        <v>2162</v>
      </c>
      <c r="D68" s="194">
        <f t="shared" si="0"/>
        <v>0.95200352267723465</v>
      </c>
    </row>
    <row r="69" spans="1:6">
      <c r="A69" s="64" t="s">
        <v>155</v>
      </c>
      <c r="B69" s="75">
        <v>0.78</v>
      </c>
      <c r="C69" s="193"/>
      <c r="D69" s="194">
        <v>1</v>
      </c>
      <c r="E69" t="s">
        <v>207</v>
      </c>
    </row>
    <row r="70" spans="1:6">
      <c r="A70" s="64" t="s">
        <v>156</v>
      </c>
      <c r="B70" s="75">
        <v>0.30099999999999999</v>
      </c>
      <c r="C70" s="193">
        <v>1933</v>
      </c>
      <c r="D70" s="194">
        <f t="shared" si="0"/>
        <v>0.85116688683399389</v>
      </c>
    </row>
    <row r="71" spans="1:6">
      <c r="A71" s="64" t="s">
        <v>157</v>
      </c>
      <c r="B71" s="75">
        <v>0.376</v>
      </c>
      <c r="C71" s="193">
        <v>3248</v>
      </c>
      <c r="D71" s="194">
        <f t="shared" si="0"/>
        <v>1.4302069572875384</v>
      </c>
    </row>
    <row r="72" spans="1:6">
      <c r="A72" s="64" t="s">
        <v>158</v>
      </c>
      <c r="B72" s="75">
        <v>0.39400000000000002</v>
      </c>
      <c r="C72" s="193">
        <v>1570</v>
      </c>
      <c r="D72" s="194">
        <f t="shared" si="0"/>
        <v>0.69132540730955527</v>
      </c>
    </row>
    <row r="73" spans="1:6">
      <c r="A73" s="64" t="s">
        <v>159</v>
      </c>
      <c r="B73" s="75">
        <v>0.41599999999999998</v>
      </c>
      <c r="C73" s="193">
        <v>2280</v>
      </c>
      <c r="D73" s="194">
        <f t="shared" si="0"/>
        <v>1.0039630118890357</v>
      </c>
    </row>
    <row r="74" spans="1:6">
      <c r="A74" s="64" t="s">
        <v>160</v>
      </c>
      <c r="B74" s="75">
        <v>0.45</v>
      </c>
      <c r="C74" s="193">
        <v>1538</v>
      </c>
      <c r="D74" s="194">
        <f t="shared" si="0"/>
        <v>0.67723469837076178</v>
      </c>
    </row>
    <row r="75" spans="1:6">
      <c r="A75" s="63"/>
      <c r="B75" s="63"/>
    </row>
    <row r="76" spans="1:6">
      <c r="A76" s="252" t="s">
        <v>203</v>
      </c>
      <c r="B76" s="63"/>
    </row>
    <row r="77" spans="1:6">
      <c r="A77" s="551" t="s">
        <v>352</v>
      </c>
      <c r="B77" s="551"/>
      <c r="C77" s="551"/>
      <c r="D77" s="551"/>
      <c r="E77" s="551"/>
      <c r="F77" s="551"/>
    </row>
    <row r="78" spans="1:6">
      <c r="A78" s="552" t="s">
        <v>244</v>
      </c>
      <c r="B78" s="552"/>
      <c r="C78" s="552"/>
      <c r="D78" s="552"/>
      <c r="E78" s="552"/>
      <c r="F78" s="552"/>
    </row>
    <row r="79" spans="1:6" ht="14.45" customHeight="1">
      <c r="A79" s="551" t="s">
        <v>245</v>
      </c>
      <c r="B79" s="551"/>
      <c r="C79" s="551"/>
      <c r="D79" s="551"/>
      <c r="E79" s="551"/>
      <c r="F79" s="551"/>
    </row>
    <row r="80" spans="1:6" ht="30.75" customHeight="1">
      <c r="A80" s="548" t="s">
        <v>205</v>
      </c>
      <c r="B80" s="548"/>
      <c r="C80" s="548"/>
      <c r="D80" s="548"/>
      <c r="E80" s="548"/>
      <c r="F80" s="548"/>
    </row>
    <row r="81" spans="1:6" ht="6.75" customHeight="1">
      <c r="A81" s="302"/>
      <c r="B81" s="302"/>
      <c r="C81" s="302"/>
      <c r="D81" s="302"/>
      <c r="E81" s="302"/>
      <c r="F81" s="302"/>
    </row>
    <row r="82" spans="1:6" ht="30.6" customHeight="1">
      <c r="A82" s="547" t="s">
        <v>313</v>
      </c>
      <c r="B82" s="547"/>
      <c r="C82" s="547"/>
      <c r="D82" s="547"/>
      <c r="E82" s="547"/>
      <c r="F82" s="547"/>
    </row>
    <row r="83" spans="1:6" hidden="1">
      <c r="A83" s="68"/>
      <c r="B83" s="68"/>
      <c r="C83" s="68"/>
      <c r="D83" s="68"/>
      <c r="E83" s="68"/>
      <c r="F83" s="68"/>
    </row>
    <row r="84" spans="1:6" hidden="1"/>
    <row r="85" spans="1:6" hidden="1">
      <c r="A85" s="251"/>
      <c r="B85" s="251"/>
      <c r="C85" s="251"/>
      <c r="D85" s="251"/>
      <c r="E85" s="251"/>
      <c r="F85" s="251"/>
    </row>
    <row r="86" spans="1:6" hidden="1">
      <c r="A86" s="251"/>
      <c r="B86" s="251"/>
      <c r="C86" s="251"/>
      <c r="D86" s="251"/>
      <c r="E86" s="251"/>
      <c r="F86" s="251"/>
    </row>
    <row r="87" spans="1:6" hidden="1">
      <c r="A87" s="63" t="s">
        <v>197</v>
      </c>
      <c r="B87" s="63"/>
      <c r="C87" s="151"/>
      <c r="D87" s="151"/>
      <c r="E87" s="151"/>
      <c r="F87" s="151"/>
    </row>
    <row r="88" spans="1:6" hidden="1">
      <c r="A88" s="63" t="s">
        <v>198</v>
      </c>
      <c r="B88" s="63"/>
      <c r="C88" s="151"/>
      <c r="D88" s="151"/>
      <c r="E88" s="151"/>
    </row>
    <row r="89" spans="1:6">
      <c r="A89" s="63"/>
      <c r="B89" s="63"/>
      <c r="C89" s="150"/>
    </row>
    <row r="90" spans="1:6">
      <c r="A90" s="63"/>
      <c r="B90" s="63"/>
      <c r="C90" s="150"/>
    </row>
    <row r="91" spans="1:6">
      <c r="A91" s="63"/>
      <c r="B91" s="63"/>
      <c r="C91" s="150"/>
    </row>
    <row r="92" spans="1:6">
      <c r="A92" s="63"/>
      <c r="B92" s="63"/>
      <c r="C92" s="150"/>
    </row>
    <row r="93" spans="1:6">
      <c r="A93" s="63"/>
      <c r="B93" s="63"/>
      <c r="C93" s="150"/>
    </row>
    <row r="94" spans="1:6">
      <c r="A94" s="63"/>
      <c r="B94" s="63"/>
      <c r="C94" s="150"/>
    </row>
    <row r="95" spans="1:6">
      <c r="A95" s="63"/>
      <c r="B95" s="63"/>
      <c r="C95" s="150"/>
    </row>
    <row r="96" spans="1:6">
      <c r="A96" s="63"/>
      <c r="B96" s="63"/>
      <c r="C96" s="150"/>
    </row>
    <row r="97" spans="1:3">
      <c r="A97" s="63"/>
      <c r="B97" s="63"/>
      <c r="C97" s="150"/>
    </row>
    <row r="98" spans="1:3">
      <c r="A98" s="63"/>
      <c r="B98" s="63"/>
      <c r="C98" s="150"/>
    </row>
    <row r="99" spans="1:3">
      <c r="A99" s="63"/>
      <c r="B99" s="63"/>
      <c r="C99" s="150"/>
    </row>
    <row r="100" spans="1:3">
      <c r="A100" s="63"/>
      <c r="B100" s="63"/>
      <c r="C100" s="150"/>
    </row>
    <row r="101" spans="1:3">
      <c r="A101" s="63"/>
      <c r="B101" s="63"/>
      <c r="C101" s="150"/>
    </row>
    <row r="102" spans="1:3">
      <c r="A102" s="63"/>
      <c r="B102" s="63"/>
      <c r="C102" s="150"/>
    </row>
    <row r="103" spans="1:3">
      <c r="A103" s="63"/>
      <c r="B103" s="63"/>
      <c r="C103" s="150"/>
    </row>
    <row r="104" spans="1:3">
      <c r="A104" s="63"/>
      <c r="B104" s="63"/>
      <c r="C104" s="150"/>
    </row>
    <row r="105" spans="1:3">
      <c r="A105" s="63"/>
      <c r="B105" s="63"/>
      <c r="C105" s="150"/>
    </row>
    <row r="106" spans="1:3">
      <c r="A106" s="63"/>
      <c r="B106" s="63"/>
      <c r="C106" s="150"/>
    </row>
    <row r="107" spans="1:3">
      <c r="A107" s="63"/>
      <c r="B107" s="63"/>
      <c r="C107" s="150"/>
    </row>
    <row r="108" spans="1:3">
      <c r="A108" s="63"/>
      <c r="B108" s="63"/>
      <c r="C108" s="150"/>
    </row>
    <row r="109" spans="1:3">
      <c r="A109" s="63"/>
      <c r="B109" s="63"/>
      <c r="C109" s="150"/>
    </row>
    <row r="110" spans="1:3">
      <c r="A110" s="63"/>
      <c r="B110" s="63"/>
      <c r="C110" s="150"/>
    </row>
    <row r="111" spans="1:3">
      <c r="A111" s="63"/>
      <c r="B111" s="63"/>
      <c r="C111" s="150"/>
    </row>
    <row r="112" spans="1:3">
      <c r="A112" s="63"/>
      <c r="B112" s="63"/>
      <c r="C112" s="150"/>
    </row>
    <row r="113" spans="1:3">
      <c r="A113" s="63"/>
      <c r="B113" s="63"/>
      <c r="C113" s="150"/>
    </row>
    <row r="114" spans="1:3">
      <c r="A114" s="63"/>
      <c r="B114" s="63"/>
      <c r="C114" s="150"/>
    </row>
    <row r="115" spans="1:3">
      <c r="A115" s="63"/>
      <c r="B115" s="63"/>
      <c r="C115" s="150"/>
    </row>
    <row r="116" spans="1:3">
      <c r="A116" s="63"/>
      <c r="B116" s="63"/>
      <c r="C116" s="150"/>
    </row>
    <row r="117" spans="1:3">
      <c r="A117" s="63"/>
      <c r="B117" s="63"/>
      <c r="C117" s="150"/>
    </row>
    <row r="118" spans="1:3">
      <c r="A118" s="63"/>
      <c r="B118" s="63"/>
      <c r="C118" s="150"/>
    </row>
    <row r="119" spans="1:3">
      <c r="A119" s="63"/>
      <c r="B119" s="63"/>
      <c r="C119" s="150"/>
    </row>
    <row r="120" spans="1:3">
      <c r="A120" s="63"/>
      <c r="B120" s="63"/>
      <c r="C120" s="150"/>
    </row>
    <row r="121" spans="1:3">
      <c r="A121" s="63"/>
      <c r="B121" s="63"/>
      <c r="C121" s="150"/>
    </row>
    <row r="122" spans="1:3">
      <c r="A122" s="63"/>
      <c r="B122" s="63"/>
      <c r="C122" s="150"/>
    </row>
    <row r="123" spans="1:3">
      <c r="A123" s="63"/>
      <c r="B123" s="63"/>
      <c r="C123" s="150"/>
    </row>
    <row r="124" spans="1:3">
      <c r="A124" s="63"/>
      <c r="B124" s="63"/>
      <c r="C124" s="150"/>
    </row>
    <row r="125" spans="1:3">
      <c r="A125" s="63"/>
      <c r="B125" s="63"/>
      <c r="C125" s="150"/>
    </row>
    <row r="126" spans="1:3">
      <c r="A126" s="63"/>
      <c r="B126" s="63"/>
      <c r="C126" s="150"/>
    </row>
    <row r="127" spans="1:3">
      <c r="A127" s="63"/>
      <c r="B127" s="63"/>
      <c r="C127" s="150"/>
    </row>
    <row r="128" spans="1:3">
      <c r="A128" s="63"/>
      <c r="B128" s="63"/>
      <c r="C128" s="150"/>
    </row>
    <row r="129" spans="1:3">
      <c r="A129" s="63"/>
      <c r="B129" s="63"/>
      <c r="C129" s="150"/>
    </row>
    <row r="130" spans="1:3">
      <c r="A130" s="63"/>
      <c r="B130" s="63"/>
      <c r="C130" s="150"/>
    </row>
    <row r="131" spans="1:3">
      <c r="A131" s="63"/>
      <c r="B131" s="63"/>
      <c r="C131" s="150"/>
    </row>
    <row r="132" spans="1:3">
      <c r="A132" s="63"/>
      <c r="B132" s="63"/>
      <c r="C132" s="150"/>
    </row>
    <row r="133" spans="1:3">
      <c r="A133" s="63"/>
      <c r="B133" s="63"/>
      <c r="C133" s="150"/>
    </row>
    <row r="134" spans="1:3">
      <c r="A134" s="63"/>
      <c r="B134" s="63"/>
      <c r="C134" s="150"/>
    </row>
    <row r="135" spans="1:3">
      <c r="A135" s="63"/>
      <c r="B135" s="63"/>
      <c r="C135" s="150"/>
    </row>
    <row r="136" spans="1:3">
      <c r="A136" s="63"/>
      <c r="B136" s="63"/>
      <c r="C136" s="150"/>
    </row>
    <row r="137" spans="1:3">
      <c r="A137" s="63"/>
      <c r="B137" s="63"/>
      <c r="C137" s="150"/>
    </row>
    <row r="138" spans="1:3">
      <c r="A138" s="63"/>
      <c r="B138" s="63"/>
      <c r="C138" s="150"/>
    </row>
    <row r="139" spans="1:3">
      <c r="A139" s="63"/>
      <c r="B139" s="63"/>
      <c r="C139" s="150"/>
    </row>
    <row r="140" spans="1:3">
      <c r="A140" s="63"/>
      <c r="B140" s="63"/>
      <c r="C140" s="150"/>
    </row>
    <row r="141" spans="1:3">
      <c r="A141" s="63"/>
      <c r="B141" s="63"/>
      <c r="C141" s="150"/>
    </row>
    <row r="142" spans="1:3">
      <c r="A142" s="63"/>
      <c r="B142" s="63"/>
      <c r="C142" s="150"/>
    </row>
    <row r="143" spans="1:3">
      <c r="A143" s="63"/>
      <c r="B143" s="63"/>
      <c r="C143" s="150"/>
    </row>
    <row r="144" spans="1:3">
      <c r="A144" s="63"/>
      <c r="B144" s="63"/>
      <c r="C144" s="150"/>
    </row>
    <row r="145" spans="1:3">
      <c r="A145" s="63"/>
      <c r="B145" s="63"/>
      <c r="C145" s="150"/>
    </row>
    <row r="146" spans="1:3">
      <c r="A146" s="63"/>
      <c r="B146" s="63"/>
      <c r="C146" s="150"/>
    </row>
    <row r="147" spans="1:3">
      <c r="A147" s="63"/>
      <c r="B147" s="63"/>
      <c r="C147" s="150"/>
    </row>
    <row r="148" spans="1:3">
      <c r="A148" s="63"/>
      <c r="B148" s="63"/>
      <c r="C148" s="150"/>
    </row>
    <row r="149" spans="1:3">
      <c r="A149" s="63"/>
      <c r="B149" s="63"/>
      <c r="C149" s="150"/>
    </row>
    <row r="150" spans="1:3">
      <c r="A150" s="63"/>
      <c r="B150" s="63"/>
      <c r="C150" s="150"/>
    </row>
    <row r="151" spans="1:3">
      <c r="A151" s="63"/>
      <c r="B151" s="63"/>
      <c r="C151" s="150"/>
    </row>
    <row r="152" spans="1:3">
      <c r="A152" s="63"/>
      <c r="B152" s="63"/>
      <c r="C152" s="150"/>
    </row>
    <row r="153" spans="1:3">
      <c r="A153" s="63"/>
      <c r="B153" s="63"/>
      <c r="C153" s="150"/>
    </row>
    <row r="154" spans="1:3">
      <c r="A154" s="63"/>
      <c r="B154" s="63"/>
      <c r="C154" s="150"/>
    </row>
    <row r="155" spans="1:3">
      <c r="A155" s="63"/>
      <c r="B155" s="63"/>
      <c r="C155" s="150"/>
    </row>
    <row r="156" spans="1:3">
      <c r="A156" s="63"/>
      <c r="B156" s="63"/>
      <c r="C156" s="150"/>
    </row>
    <row r="157" spans="1:3">
      <c r="A157" s="63"/>
      <c r="B157" s="63"/>
      <c r="C157" s="150"/>
    </row>
    <row r="158" spans="1:3">
      <c r="A158" s="63"/>
      <c r="B158" s="63"/>
      <c r="C158" s="150"/>
    </row>
    <row r="159" spans="1:3">
      <c r="A159" s="63"/>
      <c r="B159" s="63"/>
      <c r="C159" s="150"/>
    </row>
    <row r="160" spans="1:3">
      <c r="A160" s="63"/>
      <c r="B160" s="63"/>
      <c r="C160" s="150"/>
    </row>
    <row r="161" spans="1:3">
      <c r="A161" s="63"/>
      <c r="B161" s="63"/>
      <c r="C161" s="150"/>
    </row>
    <row r="162" spans="1:3">
      <c r="A162" s="63"/>
      <c r="B162" s="63"/>
      <c r="C162" s="150"/>
    </row>
    <row r="163" spans="1:3">
      <c r="A163" s="63"/>
      <c r="B163" s="63"/>
      <c r="C163" s="150"/>
    </row>
    <row r="164" spans="1:3">
      <c r="A164" s="63"/>
      <c r="B164" s="63"/>
      <c r="C164" s="150"/>
    </row>
    <row r="165" spans="1:3">
      <c r="A165" s="63"/>
      <c r="B165" s="63"/>
      <c r="C165" s="150"/>
    </row>
    <row r="166" spans="1:3">
      <c r="A166" s="63"/>
      <c r="B166" s="63"/>
      <c r="C166" s="150"/>
    </row>
    <row r="167" spans="1:3">
      <c r="A167" s="63"/>
      <c r="B167" s="63"/>
      <c r="C167" s="150"/>
    </row>
    <row r="168" spans="1:3">
      <c r="A168" s="63"/>
      <c r="B168" s="63"/>
      <c r="C168" s="150"/>
    </row>
    <row r="169" spans="1:3">
      <c r="A169" s="63"/>
      <c r="B169" s="63"/>
      <c r="C169" s="150"/>
    </row>
    <row r="170" spans="1:3">
      <c r="A170" s="63"/>
      <c r="B170" s="63"/>
      <c r="C170" s="150"/>
    </row>
    <row r="171" spans="1:3">
      <c r="A171" s="63"/>
      <c r="B171" s="63"/>
      <c r="C171" s="150"/>
    </row>
    <row r="172" spans="1:3">
      <c r="A172" s="63"/>
      <c r="B172" s="63"/>
      <c r="C172" s="150"/>
    </row>
    <row r="173" spans="1:3">
      <c r="A173" s="63"/>
      <c r="B173" s="63"/>
      <c r="C173" s="150"/>
    </row>
    <row r="174" spans="1:3">
      <c r="A174" s="63"/>
      <c r="B174" s="63"/>
      <c r="C174" s="150"/>
    </row>
    <row r="175" spans="1:3">
      <c r="A175" s="63"/>
      <c r="B175" s="63"/>
      <c r="C175" s="150"/>
    </row>
    <row r="176" spans="1:3">
      <c r="A176" s="63"/>
      <c r="B176" s="63"/>
      <c r="C176" s="150"/>
    </row>
    <row r="177" spans="1:3">
      <c r="A177" s="63"/>
      <c r="B177" s="63"/>
      <c r="C177" s="150"/>
    </row>
    <row r="178" spans="1:3">
      <c r="A178" s="63"/>
      <c r="B178" s="63"/>
      <c r="C178" s="150"/>
    </row>
    <row r="179" spans="1:3">
      <c r="A179" s="63"/>
      <c r="B179" s="63"/>
      <c r="C179" s="150"/>
    </row>
    <row r="180" spans="1:3">
      <c r="A180" s="63"/>
      <c r="B180" s="63"/>
      <c r="C180" s="150"/>
    </row>
    <row r="181" spans="1:3">
      <c r="A181" s="63"/>
      <c r="B181" s="63"/>
      <c r="C181" s="150"/>
    </row>
    <row r="182" spans="1:3">
      <c r="A182" s="63"/>
      <c r="B182" s="63"/>
      <c r="C182" s="150"/>
    </row>
    <row r="183" spans="1:3">
      <c r="A183" s="63"/>
      <c r="B183" s="63"/>
      <c r="C183" s="150"/>
    </row>
    <row r="184" spans="1:3">
      <c r="A184" s="63"/>
      <c r="B184" s="63"/>
      <c r="C184" s="150"/>
    </row>
    <row r="185" spans="1:3">
      <c r="A185" s="63"/>
      <c r="B185" s="63"/>
      <c r="C185" s="150"/>
    </row>
    <row r="186" spans="1:3">
      <c r="A186" s="63"/>
      <c r="B186" s="63"/>
      <c r="C186" s="150"/>
    </row>
    <row r="187" spans="1:3">
      <c r="A187" s="63"/>
      <c r="B187" s="63"/>
      <c r="C187" s="150"/>
    </row>
    <row r="188" spans="1:3">
      <c r="A188" s="63"/>
      <c r="B188" s="63"/>
      <c r="C188" s="150"/>
    </row>
    <row r="189" spans="1:3">
      <c r="A189" s="63"/>
      <c r="B189" s="63"/>
      <c r="C189" s="150"/>
    </row>
    <row r="190" spans="1:3">
      <c r="A190" s="63"/>
      <c r="B190" s="63"/>
      <c r="C190" s="150"/>
    </row>
    <row r="191" spans="1:3">
      <c r="A191" s="63"/>
      <c r="B191" s="63"/>
      <c r="C191" s="150"/>
    </row>
    <row r="192" spans="1:3">
      <c r="A192" s="63"/>
      <c r="B192" s="63"/>
      <c r="C192" s="150"/>
    </row>
    <row r="193" spans="1:6">
      <c r="A193" s="63"/>
      <c r="B193" s="63"/>
      <c r="C193" s="150"/>
    </row>
    <row r="194" spans="1:6">
      <c r="A194" s="63"/>
      <c r="B194" s="63"/>
      <c r="C194" s="150"/>
    </row>
    <row r="195" spans="1:6">
      <c r="A195" s="63"/>
      <c r="B195" s="63"/>
      <c r="C195" s="150"/>
    </row>
    <row r="196" spans="1:6">
      <c r="A196" s="63"/>
      <c r="B196" s="63"/>
      <c r="C196" s="150"/>
    </row>
    <row r="197" spans="1:6">
      <c r="A197" s="63"/>
      <c r="B197" s="63"/>
      <c r="C197" s="150"/>
    </row>
    <row r="198" spans="1:6">
      <c r="A198" s="63"/>
      <c r="B198" s="63"/>
      <c r="C198" s="150"/>
    </row>
    <row r="199" spans="1:6">
      <c r="A199" s="63"/>
      <c r="B199" s="63"/>
      <c r="C199" s="150"/>
    </row>
    <row r="200" spans="1:6">
      <c r="A200" s="63"/>
      <c r="B200" s="63"/>
      <c r="C200" s="63"/>
    </row>
    <row r="201" spans="1:6">
      <c r="A201" s="63"/>
      <c r="B201" s="63"/>
      <c r="C201" s="63"/>
    </row>
    <row r="202" spans="1:6">
      <c r="A202" s="63"/>
      <c r="B202" s="63"/>
      <c r="C202" s="63"/>
    </row>
    <row r="203" spans="1:6">
      <c r="A203" s="63"/>
      <c r="B203" s="63"/>
      <c r="C203" s="63"/>
      <c r="F203" s="63"/>
    </row>
    <row r="204" spans="1:6">
      <c r="A204" s="63"/>
      <c r="B204" s="63"/>
      <c r="C204" s="63"/>
      <c r="D204" s="63"/>
      <c r="E204" s="63"/>
      <c r="F204" s="63"/>
    </row>
    <row r="205" spans="1:6">
      <c r="A205" s="63"/>
      <c r="B205" s="63"/>
      <c r="C205" s="63"/>
      <c r="D205" s="63"/>
      <c r="E205" s="63"/>
      <c r="F205" s="63"/>
    </row>
    <row r="206" spans="1:6">
      <c r="A206" s="63"/>
      <c r="B206" s="63"/>
      <c r="C206" s="63"/>
      <c r="D206" s="63"/>
      <c r="E206" s="63"/>
      <c r="F206" s="63"/>
    </row>
    <row r="207" spans="1:6">
      <c r="A207" s="63"/>
      <c r="B207" s="63"/>
      <c r="C207" s="63"/>
      <c r="D207" s="63"/>
      <c r="E207" s="63"/>
      <c r="F207" s="63"/>
    </row>
    <row r="208" spans="1:6">
      <c r="A208" s="63"/>
      <c r="B208" s="63"/>
      <c r="C208" s="63"/>
      <c r="D208" s="63"/>
      <c r="E208" s="63"/>
      <c r="F208" s="63"/>
    </row>
    <row r="209" spans="1:6">
      <c r="A209" s="63"/>
      <c r="B209" s="63"/>
      <c r="C209" s="63"/>
      <c r="D209" s="63"/>
      <c r="E209" s="63"/>
      <c r="F209" s="63"/>
    </row>
    <row r="210" spans="1:6">
      <c r="A210" s="63"/>
      <c r="B210" s="63"/>
      <c r="C210" s="63"/>
      <c r="D210" s="63"/>
      <c r="E210" s="63"/>
      <c r="F210" s="63"/>
    </row>
    <row r="211" spans="1:6">
      <c r="A211" s="63"/>
      <c r="B211" s="63"/>
      <c r="C211" s="63"/>
      <c r="D211" s="63"/>
      <c r="E211" s="63"/>
      <c r="F211" s="63"/>
    </row>
    <row r="212" spans="1:6">
      <c r="A212" s="63"/>
      <c r="B212" s="63"/>
      <c r="C212" s="63"/>
      <c r="D212" s="63"/>
      <c r="E212" s="63"/>
      <c r="F212" s="63"/>
    </row>
    <row r="213" spans="1:6">
      <c r="A213" s="63"/>
      <c r="B213" s="63"/>
      <c r="C213" s="63"/>
      <c r="D213" s="63"/>
      <c r="E213" s="63"/>
      <c r="F213" s="63"/>
    </row>
    <row r="214" spans="1:6">
      <c r="A214" s="63"/>
      <c r="B214" s="63"/>
      <c r="C214" s="63"/>
      <c r="D214" s="63"/>
      <c r="E214" s="63"/>
      <c r="F214" s="63"/>
    </row>
    <row r="215" spans="1:6">
      <c r="A215" s="63"/>
      <c r="B215" s="63"/>
      <c r="C215" s="63"/>
      <c r="D215" s="63"/>
      <c r="E215" s="63"/>
      <c r="F215" s="63"/>
    </row>
    <row r="216" spans="1:6">
      <c r="A216" s="63"/>
      <c r="B216" s="63"/>
      <c r="C216" s="63"/>
      <c r="D216" s="63"/>
      <c r="E216" s="63"/>
      <c r="F216" s="63"/>
    </row>
    <row r="217" spans="1:6">
      <c r="A217" s="63"/>
      <c r="B217" s="63"/>
      <c r="C217" s="63"/>
      <c r="D217" s="63"/>
      <c r="E217" s="63"/>
      <c r="F217" s="63"/>
    </row>
    <row r="218" spans="1:6">
      <c r="A218" s="63"/>
      <c r="B218" s="63"/>
      <c r="C218" s="63"/>
      <c r="D218" s="63"/>
      <c r="E218" s="63"/>
      <c r="F218" s="63"/>
    </row>
    <row r="219" spans="1:6">
      <c r="A219" s="63"/>
      <c r="B219" s="63"/>
      <c r="C219" s="63"/>
      <c r="D219" s="63"/>
      <c r="E219" s="63"/>
      <c r="F219" s="63"/>
    </row>
    <row r="220" spans="1:6">
      <c r="A220" s="63"/>
      <c r="B220" s="63"/>
      <c r="C220" s="63"/>
      <c r="D220" s="63"/>
      <c r="E220" s="63"/>
      <c r="F220" s="63"/>
    </row>
    <row r="221" spans="1:6">
      <c r="A221" s="63"/>
      <c r="B221" s="63"/>
      <c r="C221" s="63"/>
      <c r="D221" s="63"/>
      <c r="E221" s="63"/>
      <c r="F221" s="63"/>
    </row>
    <row r="222" spans="1:6">
      <c r="A222" s="63"/>
      <c r="B222" s="63"/>
      <c r="C222" s="63"/>
      <c r="D222" s="63"/>
      <c r="E222" s="63"/>
      <c r="F222" s="63"/>
    </row>
    <row r="223" spans="1:6">
      <c r="A223" s="63"/>
      <c r="B223" s="63"/>
      <c r="C223" s="63"/>
      <c r="D223" s="63"/>
      <c r="E223" s="63"/>
      <c r="F223" s="63"/>
    </row>
    <row r="224" spans="1:6">
      <c r="C224" s="63"/>
      <c r="D224" s="63"/>
      <c r="E224" s="63"/>
      <c r="F224" s="63"/>
    </row>
    <row r="225" spans="3:6">
      <c r="C225" s="63"/>
      <c r="D225" s="63"/>
      <c r="E225" s="63"/>
      <c r="F225" s="63"/>
    </row>
    <row r="226" spans="3:6">
      <c r="C226" s="63"/>
      <c r="D226" s="63"/>
      <c r="E226" s="63"/>
      <c r="F226" s="63"/>
    </row>
    <row r="227" spans="3:6">
      <c r="C227" s="63"/>
      <c r="D227" s="63"/>
      <c r="E227" s="63"/>
    </row>
  </sheetData>
  <sheetProtection sheet="1" formatCells="0" formatColumns="0" formatRows="0" insertColumns="0" insertRows="0" insertHyperlinks="0" deleteColumns="0" deleteRows="0"/>
  <mergeCells count="10">
    <mergeCell ref="A1:F1"/>
    <mergeCell ref="A82:F82"/>
    <mergeCell ref="A16:F16"/>
    <mergeCell ref="A17:F17"/>
    <mergeCell ref="A80:F80"/>
    <mergeCell ref="A3:F3"/>
    <mergeCell ref="A19:B19"/>
    <mergeCell ref="A79:F79"/>
    <mergeCell ref="A77:F77"/>
    <mergeCell ref="A78:F78"/>
  </mergeCells>
  <hyperlinks>
    <hyperlink ref="A80:F80" r:id="rId1" display="https://www.kff.org/health-costs/state-indicator/expenses-per-inpatient-day/?currentTimeframe=0&amp;sortModel=%7B%22colId%22:%22Location%22,%22sort%22:%22asc%22%7D" xr:uid="{00000000-0004-0000-0D00-000001000000}"/>
    <hyperlink ref="A17" r:id="rId2" xr:uid="{00000000-0004-0000-0D00-000002000000}"/>
    <hyperlink ref="A78" r:id="rId3" xr:uid="{8B5566E0-F3CA-496D-9B4B-51FE38BCDE12}"/>
  </hyperlinks>
  <printOptions horizontalCentered="1"/>
  <pageMargins left="0.7" right="0.7" top="0.75" bottom="0.75" header="0.3" footer="0.3"/>
  <pageSetup paperSize="5" orientation="portrait" r:id="rId4"/>
  <headerFooter>
    <oddHeader>&amp;C&amp;"-,Bold"&amp;14Appendix: National Data Used in Calculations</oddHeader>
  </headerFooter>
  <rowBreaks count="1" manualBreakCount="1">
    <brk id="13" max="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17"/>
  <sheetViews>
    <sheetView showGridLines="0" showRuler="0" view="pageLayout" zoomScale="150" zoomScaleNormal="100" zoomScalePageLayoutView="150" workbookViewId="0">
      <selection sqref="A1:I1"/>
    </sheetView>
  </sheetViews>
  <sheetFormatPr defaultRowHeight="15"/>
  <sheetData>
    <row r="1" spans="1:9" ht="20.25">
      <c r="A1" s="399" t="s">
        <v>288</v>
      </c>
      <c r="B1" s="399"/>
      <c r="C1" s="399"/>
      <c r="D1" s="399"/>
      <c r="E1" s="399"/>
      <c r="F1" s="399"/>
      <c r="G1" s="399"/>
      <c r="H1" s="399"/>
      <c r="I1" s="399"/>
    </row>
    <row r="2" spans="1:9">
      <c r="A2" s="331"/>
      <c r="B2" s="331"/>
      <c r="C2" s="331"/>
      <c r="D2" s="331"/>
      <c r="E2" s="331"/>
      <c r="F2" s="331"/>
      <c r="G2" s="331"/>
      <c r="H2" s="331"/>
      <c r="I2" s="331"/>
    </row>
    <row r="3" spans="1:9" ht="18.75">
      <c r="A3" s="337" t="s">
        <v>299</v>
      </c>
      <c r="B3" s="331"/>
      <c r="C3" s="331"/>
      <c r="D3" s="331"/>
      <c r="E3" s="331"/>
      <c r="F3" s="331"/>
      <c r="G3" s="331"/>
      <c r="H3" s="331"/>
      <c r="I3" s="331"/>
    </row>
    <row r="4" spans="1:9" ht="108.75" customHeight="1">
      <c r="A4" s="414" t="s">
        <v>378</v>
      </c>
      <c r="B4" s="414"/>
      <c r="C4" s="414"/>
      <c r="D4" s="414"/>
      <c r="E4" s="414"/>
      <c r="F4" s="414"/>
      <c r="G4" s="414"/>
      <c r="H4" s="414"/>
      <c r="I4" s="414"/>
    </row>
    <row r="5" spans="1:9" ht="18.75">
      <c r="A5" s="337" t="s">
        <v>300</v>
      </c>
      <c r="B5" s="331"/>
      <c r="C5" s="331"/>
      <c r="D5" s="331"/>
      <c r="E5" s="331"/>
      <c r="F5" s="331"/>
      <c r="G5" s="331"/>
      <c r="H5" s="331"/>
      <c r="I5" s="331"/>
    </row>
    <row r="6" spans="1:9" ht="63.75" customHeight="1">
      <c r="A6" s="414" t="s">
        <v>379</v>
      </c>
      <c r="B6" s="414"/>
      <c r="C6" s="414"/>
      <c r="D6" s="414"/>
      <c r="E6" s="414"/>
      <c r="F6" s="414"/>
      <c r="G6" s="414"/>
      <c r="H6" s="414"/>
      <c r="I6" s="414"/>
    </row>
    <row r="7" spans="1:9" ht="108" customHeight="1">
      <c r="A7" s="414" t="s">
        <v>380</v>
      </c>
      <c r="B7" s="414"/>
      <c r="C7" s="414"/>
      <c r="D7" s="414"/>
      <c r="E7" s="414"/>
      <c r="F7" s="414"/>
      <c r="G7" s="414"/>
      <c r="H7" s="414"/>
      <c r="I7" s="414"/>
    </row>
    <row r="8" spans="1:9" ht="48.75" customHeight="1">
      <c r="A8" s="414" t="s">
        <v>381</v>
      </c>
      <c r="B8" s="414"/>
      <c r="C8" s="414"/>
      <c r="D8" s="414"/>
      <c r="E8" s="414"/>
      <c r="F8" s="414"/>
      <c r="G8" s="414"/>
      <c r="H8" s="414"/>
      <c r="I8" s="414"/>
    </row>
    <row r="9" spans="1:9" ht="76.5" customHeight="1">
      <c r="A9" s="414" t="s">
        <v>382</v>
      </c>
      <c r="B9" s="414"/>
      <c r="C9" s="414"/>
      <c r="D9" s="414"/>
      <c r="E9" s="414"/>
      <c r="F9" s="414"/>
      <c r="G9" s="414"/>
      <c r="H9" s="414"/>
      <c r="I9" s="414"/>
    </row>
    <row r="10" spans="1:9" ht="45.75" customHeight="1">
      <c r="A10" s="401" t="s">
        <v>301</v>
      </c>
      <c r="B10" s="401"/>
      <c r="C10" s="401"/>
      <c r="D10" s="401"/>
      <c r="E10" s="401"/>
      <c r="F10" s="401"/>
      <c r="G10" s="401"/>
      <c r="H10" s="401"/>
      <c r="I10" s="401"/>
    </row>
    <row r="11" spans="1:9" ht="18.75">
      <c r="A11" s="337" t="s">
        <v>302</v>
      </c>
      <c r="B11" s="331"/>
      <c r="C11" s="331"/>
      <c r="D11" s="331"/>
      <c r="E11" s="331"/>
      <c r="F11" s="331"/>
      <c r="G11" s="331"/>
      <c r="H11" s="331"/>
      <c r="I11" s="331"/>
    </row>
    <row r="12" spans="1:9" ht="124.5" customHeight="1">
      <c r="A12" s="414" t="s">
        <v>383</v>
      </c>
      <c r="B12" s="414"/>
      <c r="C12" s="414"/>
      <c r="D12" s="414"/>
      <c r="E12" s="414"/>
      <c r="F12" s="414"/>
      <c r="G12" s="414"/>
      <c r="H12" s="414"/>
      <c r="I12" s="414"/>
    </row>
    <row r="13" spans="1:9" ht="18.75" customHeight="1">
      <c r="A13" s="337" t="s">
        <v>303</v>
      </c>
      <c r="B13" s="331"/>
      <c r="C13" s="331"/>
      <c r="D13" s="331"/>
      <c r="E13" s="331"/>
      <c r="F13" s="331"/>
      <c r="G13" s="331"/>
      <c r="H13" s="331"/>
      <c r="I13" s="331"/>
    </row>
    <row r="14" spans="1:9" ht="153" customHeight="1">
      <c r="A14" s="408" t="s">
        <v>384</v>
      </c>
      <c r="B14" s="408"/>
      <c r="C14" s="408"/>
      <c r="D14" s="408"/>
      <c r="E14" s="408"/>
      <c r="F14" s="408"/>
      <c r="G14" s="408"/>
      <c r="H14" s="408"/>
      <c r="I14" s="408"/>
    </row>
    <row r="15" spans="1:9" ht="33.75" customHeight="1">
      <c r="A15" s="401" t="s">
        <v>385</v>
      </c>
      <c r="B15" s="401"/>
      <c r="C15" s="401"/>
      <c r="D15" s="401"/>
      <c r="E15" s="401"/>
      <c r="F15" s="401"/>
      <c r="G15" s="401"/>
      <c r="H15" s="401"/>
      <c r="I15" s="401"/>
    </row>
    <row r="17" spans="1:1">
      <c r="A17" s="283"/>
    </row>
  </sheetData>
  <mergeCells count="10">
    <mergeCell ref="A1:I1"/>
    <mergeCell ref="A12:I12"/>
    <mergeCell ref="A14:I14"/>
    <mergeCell ref="A15:I15"/>
    <mergeCell ref="A4:I4"/>
    <mergeCell ref="A6:I6"/>
    <mergeCell ref="A7:I7"/>
    <mergeCell ref="A8:I8"/>
    <mergeCell ref="A9:I9"/>
    <mergeCell ref="A10:I10"/>
  </mergeCells>
  <pageMargins left="0.7" right="0.7" top="0.75" bottom="0.75" header="0.3" footer="0.3"/>
  <pageSetup paperSize="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16"/>
  <sheetViews>
    <sheetView showGridLines="0" showRuler="0" view="pageLayout" zoomScale="150" zoomScaleNormal="100" zoomScalePageLayoutView="150" workbookViewId="0">
      <selection sqref="A1:I1"/>
    </sheetView>
  </sheetViews>
  <sheetFormatPr defaultRowHeight="15"/>
  <sheetData>
    <row r="1" spans="1:9" ht="20.25">
      <c r="A1" s="399" t="s">
        <v>312</v>
      </c>
      <c r="B1" s="399"/>
      <c r="C1" s="399"/>
      <c r="D1" s="399"/>
      <c r="E1" s="399"/>
      <c r="F1" s="399"/>
      <c r="G1" s="399"/>
      <c r="H1" s="399"/>
      <c r="I1" s="399"/>
    </row>
    <row r="3" spans="1:9" ht="32.25" customHeight="1">
      <c r="A3" s="401" t="s">
        <v>274</v>
      </c>
      <c r="B3" s="401"/>
      <c r="C3" s="401"/>
      <c r="D3" s="401"/>
      <c r="E3" s="401"/>
      <c r="F3" s="401"/>
      <c r="G3" s="401"/>
      <c r="H3" s="401"/>
      <c r="I3" s="401"/>
    </row>
    <row r="4" spans="1:9" ht="45.75" customHeight="1">
      <c r="A4" s="408" t="s">
        <v>367</v>
      </c>
      <c r="B4" s="553"/>
      <c r="C4" s="553"/>
      <c r="D4" s="553"/>
      <c r="E4" s="553"/>
      <c r="F4" s="553"/>
      <c r="G4" s="553"/>
      <c r="H4" s="553"/>
      <c r="I4" s="553"/>
    </row>
    <row r="5" spans="1:9" ht="61.5" customHeight="1">
      <c r="A5" s="408" t="s">
        <v>377</v>
      </c>
      <c r="B5" s="408"/>
      <c r="C5" s="408"/>
      <c r="D5" s="408"/>
      <c r="E5" s="408"/>
      <c r="F5" s="408"/>
      <c r="G5" s="408"/>
      <c r="H5" s="408"/>
      <c r="I5" s="408"/>
    </row>
    <row r="6" spans="1:9" ht="76.5" customHeight="1">
      <c r="A6" s="408" t="s">
        <v>399</v>
      </c>
      <c r="B6" s="408"/>
      <c r="C6" s="408"/>
      <c r="D6" s="408"/>
      <c r="E6" s="408"/>
      <c r="F6" s="408"/>
      <c r="G6" s="408"/>
      <c r="H6" s="408"/>
      <c r="I6" s="408"/>
    </row>
    <row r="7" spans="1:9" ht="45.75" customHeight="1">
      <c r="A7" s="408" t="s">
        <v>272</v>
      </c>
      <c r="B7" s="408"/>
      <c r="C7" s="408"/>
      <c r="D7" s="408"/>
      <c r="E7" s="408"/>
      <c r="F7" s="408"/>
      <c r="G7" s="408"/>
      <c r="H7" s="408"/>
      <c r="I7" s="408"/>
    </row>
    <row r="8" spans="1:9" ht="63" customHeight="1">
      <c r="A8" s="408" t="s">
        <v>368</v>
      </c>
      <c r="B8" s="553"/>
      <c r="C8" s="553"/>
      <c r="D8" s="553"/>
      <c r="E8" s="553"/>
      <c r="F8" s="553"/>
      <c r="G8" s="553"/>
      <c r="H8" s="553"/>
      <c r="I8" s="553"/>
    </row>
    <row r="9" spans="1:9" ht="45.75" customHeight="1">
      <c r="A9" s="408" t="s">
        <v>373</v>
      </c>
      <c r="B9" s="553"/>
      <c r="C9" s="553"/>
      <c r="D9" s="553"/>
      <c r="E9" s="553"/>
      <c r="F9" s="553"/>
      <c r="G9" s="553"/>
      <c r="H9" s="553"/>
      <c r="I9" s="553"/>
    </row>
    <row r="10" spans="1:9">
      <c r="A10" s="555" t="s">
        <v>369</v>
      </c>
      <c r="B10" s="555"/>
      <c r="C10" s="555"/>
      <c r="D10" s="555"/>
      <c r="E10" s="555"/>
      <c r="F10" s="555"/>
      <c r="G10" s="555"/>
      <c r="H10" s="555"/>
      <c r="I10" s="555"/>
    </row>
    <row r="11" spans="1:9" ht="62.25" customHeight="1">
      <c r="A11" s="408" t="s">
        <v>372</v>
      </c>
      <c r="B11" s="408"/>
      <c r="C11" s="408"/>
      <c r="D11" s="408"/>
      <c r="E11" s="408"/>
      <c r="F11" s="408"/>
      <c r="G11" s="408"/>
      <c r="H11" s="408"/>
      <c r="I11" s="408"/>
    </row>
    <row r="12" spans="1:9" ht="38.25" customHeight="1">
      <c r="A12" s="554" t="s">
        <v>370</v>
      </c>
      <c r="B12" s="553"/>
      <c r="C12" s="553"/>
      <c r="D12" s="553"/>
      <c r="E12" s="553"/>
      <c r="F12" s="553"/>
      <c r="G12" s="553"/>
      <c r="H12" s="553"/>
      <c r="I12" s="553"/>
    </row>
    <row r="13" spans="1:9" ht="28.5" customHeight="1">
      <c r="A13" s="408" t="s">
        <v>371</v>
      </c>
      <c r="B13" s="553"/>
      <c r="C13" s="553"/>
      <c r="D13" s="553"/>
      <c r="E13" s="553"/>
      <c r="F13" s="553"/>
      <c r="G13" s="553"/>
      <c r="H13" s="553"/>
      <c r="I13" s="553"/>
    </row>
    <row r="14" spans="1:9" ht="60.75" customHeight="1">
      <c r="A14" s="408" t="s">
        <v>376</v>
      </c>
      <c r="B14" s="408"/>
      <c r="C14" s="408"/>
      <c r="D14" s="408"/>
      <c r="E14" s="408"/>
      <c r="F14" s="408"/>
      <c r="G14" s="408"/>
      <c r="H14" s="408"/>
      <c r="I14" s="408"/>
    </row>
    <row r="15" spans="1:9" ht="32.25" customHeight="1">
      <c r="A15" s="401" t="s">
        <v>273</v>
      </c>
      <c r="B15" s="401"/>
      <c r="C15" s="401"/>
      <c r="D15" s="401"/>
      <c r="E15" s="401"/>
      <c r="F15" s="401"/>
      <c r="G15" s="401"/>
      <c r="H15" s="401"/>
      <c r="I15" s="401"/>
    </row>
    <row r="16" spans="1:9" ht="30" customHeight="1">
      <c r="A16" s="401" t="s">
        <v>271</v>
      </c>
      <c r="B16" s="401"/>
      <c r="C16" s="401"/>
      <c r="D16" s="401"/>
      <c r="E16" s="401"/>
      <c r="F16" s="401"/>
      <c r="G16" s="401"/>
      <c r="H16" s="401"/>
      <c r="I16" s="401"/>
    </row>
  </sheetData>
  <mergeCells count="15">
    <mergeCell ref="A15:I15"/>
    <mergeCell ref="A16:I16"/>
    <mergeCell ref="A14:I14"/>
    <mergeCell ref="A5:I5"/>
    <mergeCell ref="A1:I1"/>
    <mergeCell ref="A8:I8"/>
    <mergeCell ref="A12:I12"/>
    <mergeCell ref="A13:I13"/>
    <mergeCell ref="A4:I4"/>
    <mergeCell ref="A9:I9"/>
    <mergeCell ref="A11:I11"/>
    <mergeCell ref="A3:I3"/>
    <mergeCell ref="A7:I7"/>
    <mergeCell ref="A10:I10"/>
    <mergeCell ref="A6:I6"/>
  </mergeCells>
  <pageMargins left="0.7" right="0.7" top="0.75" bottom="0.75" header="0.3" footer="0.3"/>
  <pageSetup paperSize="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12"/>
  <sheetViews>
    <sheetView showGridLines="0" showRuler="0" view="pageLayout" zoomScale="150" zoomScaleNormal="100" zoomScalePageLayoutView="150" workbookViewId="0">
      <selection activeCell="B11" sqref="B11"/>
    </sheetView>
  </sheetViews>
  <sheetFormatPr defaultRowHeight="15"/>
  <cols>
    <col min="1" max="1" width="10.7109375" customWidth="1"/>
  </cols>
  <sheetData>
    <row r="1" spans="1:9" ht="20.25">
      <c r="A1" s="399" t="s">
        <v>289</v>
      </c>
      <c r="B1" s="399"/>
      <c r="C1" s="399"/>
      <c r="D1" s="399"/>
      <c r="E1" s="399"/>
      <c r="F1" s="399"/>
      <c r="G1" s="399"/>
      <c r="H1" s="399"/>
      <c r="I1" s="399"/>
    </row>
    <row r="2" spans="1:9">
      <c r="A2" s="280"/>
    </row>
    <row r="3" spans="1:9" ht="23.25" customHeight="1">
      <c r="A3" s="557" t="s">
        <v>305</v>
      </c>
      <c r="B3" s="557"/>
      <c r="C3" s="557"/>
      <c r="D3" s="557"/>
      <c r="E3" s="557"/>
      <c r="F3" s="557"/>
      <c r="G3" s="557"/>
      <c r="H3" s="557"/>
      <c r="I3" s="557"/>
    </row>
    <row r="4" spans="1:9" ht="21.75" customHeight="1">
      <c r="A4" s="558" t="s">
        <v>306</v>
      </c>
      <c r="B4" s="558"/>
      <c r="C4" s="558"/>
      <c r="D4" s="558"/>
      <c r="E4" s="558"/>
      <c r="F4" s="558"/>
      <c r="G4" s="558"/>
      <c r="H4" s="558"/>
      <c r="I4" s="558"/>
    </row>
    <row r="5" spans="1:9">
      <c r="A5" s="559" t="s">
        <v>307</v>
      </c>
      <c r="B5" s="559"/>
      <c r="C5" s="559"/>
      <c r="D5" s="559"/>
      <c r="E5" s="559"/>
      <c r="F5" s="559"/>
      <c r="G5" s="559"/>
      <c r="H5" s="559"/>
      <c r="I5" s="559"/>
    </row>
    <row r="6" spans="1:9">
      <c r="A6" s="559" t="s">
        <v>308</v>
      </c>
      <c r="B6" s="559"/>
      <c r="C6" s="559"/>
      <c r="D6" s="559"/>
      <c r="E6" s="559"/>
      <c r="F6" s="559"/>
      <c r="G6" s="559"/>
      <c r="H6" s="559"/>
      <c r="I6" s="559"/>
    </row>
    <row r="7" spans="1:9">
      <c r="A7" s="559" t="s">
        <v>309</v>
      </c>
      <c r="B7" s="559"/>
      <c r="C7" s="559"/>
      <c r="D7" s="559"/>
      <c r="E7" s="559"/>
      <c r="F7" s="559"/>
      <c r="G7" s="559"/>
      <c r="H7" s="559"/>
      <c r="I7" s="559"/>
    </row>
    <row r="8" spans="1:9" ht="30" customHeight="1">
      <c r="A8" s="560" t="s">
        <v>310</v>
      </c>
      <c r="B8" s="560"/>
      <c r="C8" s="560"/>
      <c r="D8" s="560"/>
      <c r="E8" s="560"/>
      <c r="F8" s="560"/>
      <c r="G8" s="560"/>
      <c r="H8" s="560"/>
      <c r="I8" s="560"/>
    </row>
    <row r="9" spans="1:9" ht="53.25" customHeight="1">
      <c r="A9" s="556" t="s">
        <v>311</v>
      </c>
      <c r="B9" s="556"/>
      <c r="C9" s="556"/>
      <c r="D9" s="556"/>
      <c r="E9" s="556"/>
      <c r="F9" s="556"/>
      <c r="G9" s="556"/>
      <c r="H9" s="556"/>
      <c r="I9" s="556"/>
    </row>
    <row r="10" spans="1:9" ht="17.25" customHeight="1">
      <c r="A10" s="12"/>
      <c r="B10" s="282"/>
      <c r="C10" s="279"/>
      <c r="D10" s="279"/>
      <c r="E10" s="279"/>
      <c r="F10" s="279"/>
      <c r="G10" s="279"/>
      <c r="H10" s="279"/>
    </row>
    <row r="12" spans="1:9">
      <c r="A12" s="280"/>
    </row>
  </sheetData>
  <mergeCells count="8">
    <mergeCell ref="A1:I1"/>
    <mergeCell ref="A9:I9"/>
    <mergeCell ref="A3:I3"/>
    <mergeCell ref="A4:I4"/>
    <mergeCell ref="A5:I5"/>
    <mergeCell ref="A6:I6"/>
    <mergeCell ref="A7:I7"/>
    <mergeCell ref="A8:I8"/>
  </mergeCells>
  <pageMargins left="0.7" right="0.7" top="0.75" bottom="0.75" header="0.3" footer="0.3"/>
  <pageSetup paperSize="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E19"/>
  <sheetViews>
    <sheetView showGridLines="0" showRuler="0" view="pageLayout" zoomScale="150" zoomScaleNormal="100" zoomScalePageLayoutView="150" workbookViewId="0">
      <selection activeCell="A3" sqref="A3:E3"/>
    </sheetView>
  </sheetViews>
  <sheetFormatPr defaultRowHeight="15"/>
  <cols>
    <col min="1" max="1" width="11.85546875" customWidth="1"/>
    <col min="2" max="2" width="44.42578125" bestFit="1" customWidth="1"/>
  </cols>
  <sheetData>
    <row r="3" spans="1:5" ht="20.25">
      <c r="A3" s="398" t="s">
        <v>278</v>
      </c>
      <c r="B3" s="398"/>
      <c r="C3" s="398"/>
      <c r="D3" s="398"/>
      <c r="E3" s="398"/>
    </row>
    <row r="4" spans="1:5">
      <c r="B4" s="280"/>
    </row>
    <row r="5" spans="1:5" ht="22.5" customHeight="1">
      <c r="B5" s="284" t="s">
        <v>279</v>
      </c>
      <c r="C5" s="281">
        <v>2</v>
      </c>
    </row>
    <row r="6" spans="1:5" ht="22.5" customHeight="1">
      <c r="B6" s="284" t="s">
        <v>280</v>
      </c>
      <c r="C6" s="281">
        <v>3</v>
      </c>
    </row>
    <row r="7" spans="1:5" ht="22.5" customHeight="1">
      <c r="B7" s="284" t="s">
        <v>281</v>
      </c>
      <c r="C7" s="281">
        <v>5</v>
      </c>
    </row>
    <row r="8" spans="1:5" ht="22.5" customHeight="1">
      <c r="B8" s="285" t="s">
        <v>282</v>
      </c>
      <c r="C8" s="281">
        <v>7</v>
      </c>
    </row>
    <row r="9" spans="1:5" ht="22.5" customHeight="1">
      <c r="B9" s="285" t="s">
        <v>283</v>
      </c>
      <c r="C9" s="281">
        <v>9</v>
      </c>
    </row>
    <row r="10" spans="1:5" ht="22.5" customHeight="1">
      <c r="B10" s="285" t="s">
        <v>297</v>
      </c>
      <c r="C10" s="281">
        <v>11</v>
      </c>
    </row>
    <row r="11" spans="1:5" ht="22.5" customHeight="1">
      <c r="B11" s="285" t="s">
        <v>298</v>
      </c>
      <c r="C11" s="281">
        <v>13</v>
      </c>
    </row>
    <row r="12" spans="1:5" ht="22.5" customHeight="1">
      <c r="B12" s="285" t="s">
        <v>284</v>
      </c>
      <c r="C12" s="281">
        <v>15</v>
      </c>
    </row>
    <row r="13" spans="1:5" ht="22.5" customHeight="1">
      <c r="B13" s="285" t="s">
        <v>285</v>
      </c>
      <c r="C13" s="281">
        <v>17</v>
      </c>
    </row>
    <row r="14" spans="1:5" ht="22.5" customHeight="1">
      <c r="B14" s="285" t="s">
        <v>286</v>
      </c>
      <c r="C14" s="281">
        <v>19</v>
      </c>
    </row>
    <row r="15" spans="1:5" ht="22.5" customHeight="1">
      <c r="B15" s="285" t="s">
        <v>287</v>
      </c>
      <c r="C15" s="281">
        <v>20</v>
      </c>
    </row>
    <row r="16" spans="1:5" ht="22.5" customHeight="1">
      <c r="B16" s="284" t="s">
        <v>304</v>
      </c>
      <c r="C16" s="281">
        <v>21</v>
      </c>
    </row>
    <row r="17" spans="1:3" ht="22.5" customHeight="1">
      <c r="B17" s="284" t="s">
        <v>288</v>
      </c>
      <c r="C17" s="281">
        <v>23</v>
      </c>
    </row>
    <row r="18" spans="1:3" ht="22.5" customHeight="1">
      <c r="A18" s="280"/>
      <c r="B18" s="284" t="s">
        <v>312</v>
      </c>
      <c r="C18" s="281">
        <v>25</v>
      </c>
    </row>
    <row r="19" spans="1:3" ht="22.5" customHeight="1">
      <c r="B19" s="284" t="s">
        <v>289</v>
      </c>
      <c r="C19" s="281">
        <v>26</v>
      </c>
    </row>
  </sheetData>
  <mergeCells count="1">
    <mergeCell ref="A3:E3"/>
  </mergeCells>
  <hyperlinks>
    <hyperlink ref="C5" location="Introduction!A1" display="Introduction!A1" xr:uid="{00000000-0004-0000-0100-000000000000}"/>
    <hyperlink ref="C6" location="Intervention!A1" display="Intervention!A1" xr:uid="{00000000-0004-0000-0100-000001000000}"/>
    <hyperlink ref="C7" location="Instructions!A1" display="Instructions!A1" xr:uid="{00000000-0004-0000-0100-000002000000}"/>
    <hyperlink ref="C8" location="Caseload!A1" display="Caseload!A1" xr:uid="{00000000-0004-0000-0100-000003000000}"/>
    <hyperlink ref="C9" location="Budget!A1" display="Budget!A1" xr:uid="{00000000-0004-0000-0100-000004000000}"/>
    <hyperlink ref="C11" location="'Outcomes B'!A1" display="'Outcomes B'!A1" xr:uid="{00000000-0004-0000-0100-000005000000}"/>
    <hyperlink ref="C12" location="'Medical Cost'!A1" display="'Medical Cost'!A1" xr:uid="{00000000-0004-0000-0100-000006000000}"/>
    <hyperlink ref="C13" location="'Social Return'!A1" display="'Social Return'!A1" xr:uid="{00000000-0004-0000-0100-000007000000}"/>
    <hyperlink ref="C14" location="ROI!A1" display="ROI!A1" xr:uid="{00000000-0004-0000-0100-000008000000}"/>
    <hyperlink ref="C15" location="'Other Quality Measures'!A1" display="'Other Quality Measures'!A1" xr:uid="{00000000-0004-0000-0100-000009000000}"/>
    <hyperlink ref="C16" location="Appendix!A1" display="Appendix!A1" xr:uid="{00000000-0004-0000-0100-00000A000000}"/>
    <hyperlink ref="C17" location="'Technical Notes'!A1" display="'Technical Notes'!A1" xr:uid="{00000000-0004-0000-0100-00000B000000}"/>
    <hyperlink ref="C10" location="'Outcomes A'!A1" display="'Outcomes A'!A1" xr:uid="{00000000-0004-0000-0100-00000C000000}"/>
    <hyperlink ref="C19" location="Acknowledgements!A1" display="Acknowledgements!A1" xr:uid="{00000000-0004-0000-0100-00000D000000}"/>
    <hyperlink ref="C18" location="Citations!A1" display="Citations!A1" xr:uid="{00000000-0004-0000-0100-00000E000000}"/>
  </hyperlinks>
  <pageMargins left="0.7" right="0.7" top="0.75" bottom="0.75" header="0.3" footer="0.3"/>
  <pageSetup paperSize="5" orientation="portrait" r:id="rId1"/>
  <headerFooter>
    <oddHeader>&amp;C&amp;"Franklin Gothic Heavy,Regular"&amp;12&amp;KDF1738FAMILIES&amp;K217CFFUSA&amp;"-,Regular"&amp;11&amp;K01+000
&amp;"-,Bold"CHW Impact Estimator</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I14"/>
  <sheetViews>
    <sheetView showGridLines="0" showRuler="0" view="pageLayout" zoomScale="150" zoomScaleNormal="100" zoomScalePageLayoutView="150" workbookViewId="0">
      <selection activeCell="A2" sqref="A2:I2"/>
    </sheetView>
  </sheetViews>
  <sheetFormatPr defaultRowHeight="15"/>
  <sheetData>
    <row r="2" spans="1:9" ht="20.25">
      <c r="A2" s="399" t="s">
        <v>279</v>
      </c>
      <c r="B2" s="399"/>
      <c r="C2" s="399"/>
      <c r="D2" s="399"/>
      <c r="E2" s="399"/>
      <c r="F2" s="399"/>
      <c r="G2" s="399"/>
      <c r="H2" s="399"/>
      <c r="I2" s="399"/>
    </row>
    <row r="3" spans="1:9">
      <c r="A3" s="280"/>
    </row>
    <row r="4" spans="1:9" ht="47.25" customHeight="1">
      <c r="A4" s="400" t="s">
        <v>290</v>
      </c>
      <c r="B4" s="400"/>
      <c r="C4" s="400"/>
      <c r="D4" s="400"/>
      <c r="E4" s="400"/>
      <c r="F4" s="400"/>
      <c r="G4" s="400"/>
      <c r="H4" s="400"/>
      <c r="I4" s="400"/>
    </row>
    <row r="5" spans="1:9" ht="105.75" customHeight="1">
      <c r="A5" s="400" t="s">
        <v>387</v>
      </c>
      <c r="B5" s="400"/>
      <c r="C5" s="400"/>
      <c r="D5" s="400"/>
      <c r="E5" s="400"/>
      <c r="F5" s="400"/>
      <c r="G5" s="400"/>
      <c r="H5" s="400"/>
      <c r="I5" s="400"/>
    </row>
    <row r="6" spans="1:9" ht="50.25" customHeight="1">
      <c r="A6" s="400" t="s">
        <v>366</v>
      </c>
      <c r="B6" s="400"/>
      <c r="C6" s="400"/>
      <c r="D6" s="400"/>
      <c r="E6" s="400"/>
      <c r="F6" s="400"/>
      <c r="G6" s="400"/>
      <c r="H6" s="400"/>
      <c r="I6" s="400"/>
    </row>
    <row r="7" spans="1:9" ht="39" customHeight="1">
      <c r="A7" s="400" t="s">
        <v>291</v>
      </c>
      <c r="B7" s="400"/>
      <c r="C7" s="400"/>
      <c r="D7" s="400"/>
      <c r="E7" s="400"/>
      <c r="F7" s="400"/>
      <c r="G7" s="400"/>
      <c r="H7" s="400"/>
      <c r="I7" s="400"/>
    </row>
    <row r="8" spans="1:9" ht="36" customHeight="1">
      <c r="A8" s="324" t="s">
        <v>319</v>
      </c>
      <c r="B8" s="400" t="s">
        <v>388</v>
      </c>
      <c r="C8" s="400"/>
      <c r="D8" s="400"/>
      <c r="E8" s="400"/>
      <c r="F8" s="400"/>
      <c r="G8" s="400"/>
      <c r="H8" s="400"/>
      <c r="I8" s="371"/>
    </row>
    <row r="9" spans="1:9" ht="36" customHeight="1">
      <c r="A9" s="324" t="s">
        <v>320</v>
      </c>
      <c r="B9" s="400" t="s">
        <v>389</v>
      </c>
      <c r="C9" s="400"/>
      <c r="D9" s="400"/>
      <c r="E9" s="400"/>
      <c r="F9" s="400"/>
      <c r="G9" s="400"/>
      <c r="H9" s="400"/>
      <c r="I9" s="371"/>
    </row>
    <row r="10" spans="1:9" ht="36" customHeight="1">
      <c r="A10" s="324" t="s">
        <v>321</v>
      </c>
      <c r="B10" s="400" t="s">
        <v>390</v>
      </c>
      <c r="C10" s="400"/>
      <c r="D10" s="400"/>
      <c r="E10" s="400"/>
      <c r="F10" s="400"/>
      <c r="G10" s="400"/>
      <c r="H10" s="400"/>
      <c r="I10" s="372"/>
    </row>
    <row r="11" spans="1:9" ht="48" customHeight="1">
      <c r="A11" s="400" t="s">
        <v>353</v>
      </c>
      <c r="B11" s="400"/>
      <c r="C11" s="400"/>
      <c r="D11" s="400"/>
      <c r="E11" s="400"/>
      <c r="F11" s="400"/>
      <c r="G11" s="400"/>
      <c r="H11" s="400"/>
      <c r="I11" s="400"/>
    </row>
    <row r="14" spans="1:9" ht="66.75" customHeight="1"/>
  </sheetData>
  <mergeCells count="9">
    <mergeCell ref="A2:I2"/>
    <mergeCell ref="A11:I11"/>
    <mergeCell ref="A6:I6"/>
    <mergeCell ref="A4:I4"/>
    <mergeCell ref="A5:I5"/>
    <mergeCell ref="A7:I7"/>
    <mergeCell ref="B8:H8"/>
    <mergeCell ref="B9:H9"/>
    <mergeCell ref="B10:H10"/>
  </mergeCells>
  <pageMargins left="0.7" right="0.7" top="0.75" bottom="0.75" header="0.3" footer="0.3"/>
  <pageSetup paperSize="5" orientation="portrait" r:id="rId1"/>
  <headerFooter>
    <oddHeader>&amp;C&amp;"Franklin Gothic Book,Bold"&amp;12&amp;KDF1738FAMILIES&amp;K217CFFUSA&amp;"-,Regular"&amp;11&amp;K01+000
CHW Impact Estimator</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3"/>
  <sheetViews>
    <sheetView showGridLines="0" showRuler="0" view="pageLayout" zoomScale="150" zoomScaleNormal="100" zoomScalePageLayoutView="150" workbookViewId="0">
      <selection sqref="A1:I1"/>
    </sheetView>
  </sheetViews>
  <sheetFormatPr defaultRowHeight="15"/>
  <cols>
    <col min="1" max="1" width="3.85546875" customWidth="1"/>
    <col min="2" max="2" width="4.140625" customWidth="1"/>
    <col min="9" max="9" width="21.7109375" customWidth="1"/>
    <col min="10" max="10" width="4" customWidth="1"/>
  </cols>
  <sheetData>
    <row r="1" spans="1:10" ht="20.25">
      <c r="A1" s="399" t="s">
        <v>280</v>
      </c>
      <c r="B1" s="399"/>
      <c r="C1" s="399"/>
      <c r="D1" s="399"/>
      <c r="E1" s="399"/>
      <c r="F1" s="399"/>
      <c r="G1" s="399"/>
      <c r="H1" s="399"/>
      <c r="I1" s="399"/>
    </row>
    <row r="2" spans="1:10">
      <c r="A2" s="280"/>
    </row>
    <row r="3" spans="1:10" ht="118.9" customHeight="1">
      <c r="A3" s="406" t="s">
        <v>393</v>
      </c>
      <c r="B3" s="406"/>
      <c r="C3" s="406"/>
      <c r="D3" s="406"/>
      <c r="E3" s="406"/>
      <c r="F3" s="406"/>
      <c r="G3" s="406"/>
      <c r="H3" s="406"/>
      <c r="I3" s="406"/>
    </row>
    <row r="4" spans="1:10" ht="114.75" customHeight="1">
      <c r="A4" s="406" t="s">
        <v>374</v>
      </c>
      <c r="B4" s="406"/>
      <c r="C4" s="406"/>
      <c r="D4" s="406"/>
      <c r="E4" s="406"/>
      <c r="F4" s="406"/>
      <c r="G4" s="406"/>
      <c r="H4" s="406"/>
      <c r="I4" s="406"/>
    </row>
    <row r="5" spans="1:10" ht="22.5" customHeight="1">
      <c r="A5" s="406" t="s">
        <v>292</v>
      </c>
      <c r="B5" s="406"/>
      <c r="C5" s="406"/>
      <c r="D5" s="406"/>
      <c r="E5" s="406"/>
      <c r="F5" s="406"/>
      <c r="G5" s="406"/>
      <c r="H5" s="406"/>
      <c r="I5" s="406"/>
    </row>
    <row r="6" spans="1:10" ht="15" customHeight="1">
      <c r="A6" s="305" t="s">
        <v>322</v>
      </c>
      <c r="B6" s="401" t="s">
        <v>391</v>
      </c>
      <c r="C6" s="401"/>
      <c r="D6" s="401"/>
      <c r="E6" s="401"/>
      <c r="F6" s="401"/>
      <c r="G6" s="401"/>
      <c r="H6" s="401"/>
      <c r="I6" s="300"/>
    </row>
    <row r="7" spans="1:10" ht="15" customHeight="1">
      <c r="A7" s="305" t="s">
        <v>322</v>
      </c>
      <c r="B7" s="401" t="s">
        <v>392</v>
      </c>
      <c r="C7" s="401"/>
      <c r="D7" s="401"/>
      <c r="E7" s="401"/>
      <c r="F7" s="401"/>
      <c r="G7" s="401"/>
      <c r="H7" s="301"/>
      <c r="I7" s="301"/>
    </row>
    <row r="8" spans="1:10" ht="27.75" customHeight="1">
      <c r="A8" s="305" t="s">
        <v>322</v>
      </c>
      <c r="B8" s="401" t="s">
        <v>324</v>
      </c>
      <c r="C8" s="401"/>
      <c r="D8" s="401"/>
      <c r="E8" s="401"/>
      <c r="F8" s="401"/>
      <c r="G8" s="401"/>
      <c r="H8" s="401"/>
      <c r="I8" s="300"/>
    </row>
    <row r="9" spans="1:10" ht="28.5" customHeight="1">
      <c r="A9" s="305" t="s">
        <v>322</v>
      </c>
      <c r="B9" s="408" t="s">
        <v>323</v>
      </c>
      <c r="C9" s="408"/>
      <c r="D9" s="408"/>
      <c r="E9" s="408"/>
      <c r="F9" s="408"/>
      <c r="G9" s="408"/>
      <c r="H9" s="408"/>
      <c r="I9" s="306"/>
    </row>
    <row r="10" spans="1:10" ht="62.25" customHeight="1">
      <c r="A10" s="406" t="s">
        <v>394</v>
      </c>
      <c r="B10" s="406"/>
      <c r="C10" s="406"/>
      <c r="D10" s="406"/>
      <c r="E10" s="406"/>
      <c r="F10" s="406"/>
      <c r="G10" s="406"/>
      <c r="H10" s="406"/>
      <c r="I10" s="406"/>
    </row>
    <row r="11" spans="1:10" ht="151.5" customHeight="1" thickBot="1">
      <c r="A11" s="406" t="s">
        <v>375</v>
      </c>
      <c r="B11" s="406"/>
      <c r="C11" s="406"/>
      <c r="D11" s="406"/>
      <c r="E11" s="406"/>
      <c r="F11" s="406"/>
      <c r="G11" s="406"/>
      <c r="H11" s="406"/>
      <c r="I11" s="406"/>
    </row>
    <row r="12" spans="1:10" ht="12.75" customHeight="1">
      <c r="A12" s="307"/>
      <c r="B12" s="308"/>
      <c r="C12" s="308"/>
      <c r="D12" s="308"/>
      <c r="E12" s="308"/>
      <c r="F12" s="308"/>
      <c r="G12" s="308"/>
      <c r="H12" s="308"/>
      <c r="I12" s="308"/>
      <c r="J12" s="309"/>
    </row>
    <row r="13" spans="1:10">
      <c r="A13" s="318"/>
      <c r="B13" s="402" t="s">
        <v>356</v>
      </c>
      <c r="C13" s="402"/>
      <c r="D13" s="402"/>
      <c r="E13" s="402"/>
      <c r="F13" s="402"/>
      <c r="G13" s="319"/>
      <c r="H13" s="319"/>
      <c r="I13" s="319"/>
      <c r="J13" s="311"/>
    </row>
    <row r="14" spans="1:10" ht="81" customHeight="1">
      <c r="A14" s="310"/>
      <c r="B14" s="404" t="s">
        <v>325</v>
      </c>
      <c r="C14" s="404"/>
      <c r="D14" s="404"/>
      <c r="E14" s="404"/>
      <c r="F14" s="404"/>
      <c r="G14" s="404"/>
      <c r="H14" s="404"/>
      <c r="I14" s="404"/>
      <c r="J14" s="311"/>
    </row>
    <row r="15" spans="1:10" ht="14.25" customHeight="1">
      <c r="A15" s="310"/>
      <c r="B15" s="312" t="s">
        <v>326</v>
      </c>
      <c r="C15" s="405" t="s">
        <v>327</v>
      </c>
      <c r="D15" s="405"/>
      <c r="E15" s="405"/>
      <c r="F15" s="405"/>
      <c r="G15" s="405"/>
      <c r="H15" s="405"/>
      <c r="I15" s="405"/>
      <c r="J15" s="311"/>
    </row>
    <row r="16" spans="1:10" ht="14.25" customHeight="1">
      <c r="A16" s="310"/>
      <c r="B16" s="313" t="s">
        <v>328</v>
      </c>
      <c r="C16" s="404" t="s">
        <v>329</v>
      </c>
      <c r="D16" s="404"/>
      <c r="E16" s="404"/>
      <c r="F16" s="404"/>
      <c r="G16" s="404"/>
      <c r="H16" s="404"/>
      <c r="I16" s="404"/>
      <c r="J16" s="311"/>
    </row>
    <row r="17" spans="1:10" ht="14.25" customHeight="1">
      <c r="A17" s="310"/>
      <c r="B17" s="313" t="s">
        <v>330</v>
      </c>
      <c r="C17" s="404" t="s">
        <v>331</v>
      </c>
      <c r="D17" s="404"/>
      <c r="E17" s="404"/>
      <c r="F17" s="404"/>
      <c r="G17" s="404"/>
      <c r="H17" s="404"/>
      <c r="I17" s="404"/>
      <c r="J17" s="311"/>
    </row>
    <row r="18" spans="1:10" ht="14.25" customHeight="1">
      <c r="A18" s="310"/>
      <c r="B18" s="313" t="s">
        <v>332</v>
      </c>
      <c r="C18" s="404" t="s">
        <v>333</v>
      </c>
      <c r="D18" s="404"/>
      <c r="E18" s="404"/>
      <c r="F18" s="404"/>
      <c r="G18" s="404"/>
      <c r="H18" s="404"/>
      <c r="I18" s="404"/>
      <c r="J18" s="311"/>
    </row>
    <row r="19" spans="1:10" ht="14.25" customHeight="1">
      <c r="A19" s="310"/>
      <c r="B19" s="313" t="s">
        <v>334</v>
      </c>
      <c r="C19" s="404" t="s">
        <v>335</v>
      </c>
      <c r="D19" s="404"/>
      <c r="E19" s="404"/>
      <c r="F19" s="404"/>
      <c r="G19" s="404"/>
      <c r="H19" s="404"/>
      <c r="I19" s="404"/>
      <c r="J19" s="311"/>
    </row>
    <row r="20" spans="1:10" ht="15.75" customHeight="1">
      <c r="A20" s="310"/>
      <c r="B20" s="313" t="s">
        <v>336</v>
      </c>
      <c r="C20" s="404" t="s">
        <v>337</v>
      </c>
      <c r="D20" s="404"/>
      <c r="E20" s="404"/>
      <c r="F20" s="404"/>
      <c r="G20" s="404"/>
      <c r="H20" s="404"/>
      <c r="I20" s="404"/>
      <c r="J20" s="311"/>
    </row>
    <row r="21" spans="1:10" ht="15.75" customHeight="1" thickBot="1">
      <c r="A21" s="314"/>
      <c r="B21" s="315"/>
      <c r="C21" s="316"/>
      <c r="D21" s="316"/>
      <c r="E21" s="316"/>
      <c r="F21" s="316"/>
      <c r="G21" s="316"/>
      <c r="H21" s="316"/>
      <c r="I21" s="316"/>
      <c r="J21" s="317"/>
    </row>
    <row r="22" spans="1:10" ht="15.75" customHeight="1">
      <c r="A22" s="320"/>
      <c r="B22" s="321"/>
      <c r="C22" s="322"/>
      <c r="D22" s="322"/>
      <c r="E22" s="322"/>
      <c r="F22" s="322"/>
      <c r="G22" s="322"/>
      <c r="H22" s="322"/>
      <c r="I22" s="322"/>
      <c r="J22" s="320"/>
    </row>
    <row r="23" spans="1:10" ht="15.75" customHeight="1">
      <c r="A23" s="320"/>
      <c r="B23" s="321"/>
      <c r="C23" s="368"/>
      <c r="D23" s="368"/>
      <c r="E23" s="368"/>
      <c r="F23" s="368"/>
      <c r="G23" s="368"/>
      <c r="H23" s="368"/>
      <c r="I23" s="368"/>
      <c r="J23" s="320"/>
    </row>
    <row r="24" spans="1:10">
      <c r="A24" s="407" t="s">
        <v>338</v>
      </c>
      <c r="B24" s="407"/>
      <c r="C24" s="407"/>
      <c r="D24" s="407"/>
      <c r="E24" s="407"/>
      <c r="F24" s="407"/>
      <c r="G24" s="407"/>
      <c r="H24" s="407"/>
      <c r="I24" s="407"/>
      <c r="J24" s="407"/>
    </row>
    <row r="25" spans="1:10" ht="47.25" customHeight="1">
      <c r="A25" s="400" t="s">
        <v>339</v>
      </c>
      <c r="B25" s="400"/>
      <c r="C25" s="400"/>
      <c r="D25" s="400"/>
      <c r="E25" s="400"/>
      <c r="F25" s="400"/>
      <c r="G25" s="400"/>
      <c r="H25" s="400"/>
      <c r="I25" s="400"/>
      <c r="J25" s="400"/>
    </row>
    <row r="26" spans="1:10" s="320" customFormat="1" ht="30" customHeight="1">
      <c r="B26" s="321" t="s">
        <v>326</v>
      </c>
      <c r="C26" s="403" t="s">
        <v>395</v>
      </c>
      <c r="D26" s="403"/>
      <c r="E26" s="403"/>
      <c r="F26" s="403"/>
      <c r="G26" s="403"/>
      <c r="H26" s="403"/>
      <c r="I26" s="403"/>
    </row>
    <row r="27" spans="1:10" ht="14.25" customHeight="1">
      <c r="A27" s="323"/>
      <c r="B27" s="324" t="s">
        <v>328</v>
      </c>
      <c r="C27" s="400" t="s">
        <v>396</v>
      </c>
      <c r="D27" s="400"/>
      <c r="E27" s="400"/>
      <c r="F27" s="400"/>
      <c r="G27" s="400"/>
      <c r="H27" s="400"/>
      <c r="I27" s="400"/>
      <c r="J27" s="323"/>
    </row>
    <row r="28" spans="1:10" ht="17.25" customHeight="1">
      <c r="A28" s="324"/>
      <c r="B28" s="324" t="s">
        <v>330</v>
      </c>
      <c r="C28" s="400" t="s">
        <v>397</v>
      </c>
      <c r="D28" s="400"/>
      <c r="E28" s="400"/>
      <c r="F28" s="400"/>
      <c r="G28" s="400"/>
      <c r="H28" s="400"/>
      <c r="I28" s="400"/>
      <c r="J28" s="323"/>
    </row>
    <row r="29" spans="1:10" ht="30" customHeight="1">
      <c r="B29" s="325" t="s">
        <v>332</v>
      </c>
      <c r="C29" s="401" t="s">
        <v>398</v>
      </c>
      <c r="D29" s="401"/>
      <c r="E29" s="401"/>
      <c r="F29" s="401"/>
      <c r="G29" s="401"/>
      <c r="H29" s="401"/>
      <c r="I29" s="401"/>
      <c r="J29" s="401"/>
    </row>
    <row r="30" spans="1:10" ht="6.75" customHeight="1">
      <c r="B30" s="243"/>
    </row>
    <row r="31" spans="1:10">
      <c r="A31" s="401" t="s">
        <v>340</v>
      </c>
      <c r="B31" s="401"/>
      <c r="C31" s="401"/>
      <c r="D31" s="401"/>
      <c r="E31" s="401"/>
      <c r="F31" s="401"/>
      <c r="G31" s="401"/>
      <c r="H31" s="401"/>
      <c r="I31" s="401"/>
      <c r="J31" s="401"/>
    </row>
    <row r="32" spans="1:10">
      <c r="A32" s="401"/>
      <c r="B32" s="401"/>
      <c r="C32" s="401"/>
      <c r="D32" s="401"/>
      <c r="E32" s="401"/>
      <c r="F32" s="401"/>
      <c r="G32" s="401"/>
      <c r="H32" s="401"/>
      <c r="I32" s="401"/>
      <c r="J32" s="401"/>
    </row>
    <row r="33" spans="1:10" ht="36" customHeight="1">
      <c r="A33" s="401"/>
      <c r="B33" s="401"/>
      <c r="C33" s="401"/>
      <c r="D33" s="401"/>
      <c r="E33" s="401"/>
      <c r="F33" s="401"/>
      <c r="G33" s="401"/>
      <c r="H33" s="401"/>
      <c r="I33" s="401"/>
      <c r="J33" s="401"/>
    </row>
  </sheetData>
  <mergeCells count="25">
    <mergeCell ref="A24:J24"/>
    <mergeCell ref="A11:I11"/>
    <mergeCell ref="A3:I3"/>
    <mergeCell ref="A4:I4"/>
    <mergeCell ref="A5:I5"/>
    <mergeCell ref="B6:H6"/>
    <mergeCell ref="B7:G7"/>
    <mergeCell ref="B8:H8"/>
    <mergeCell ref="B9:H9"/>
    <mergeCell ref="C29:J29"/>
    <mergeCell ref="A31:J33"/>
    <mergeCell ref="A1:I1"/>
    <mergeCell ref="B13:F13"/>
    <mergeCell ref="A25:J25"/>
    <mergeCell ref="C26:I26"/>
    <mergeCell ref="C27:I27"/>
    <mergeCell ref="C28:I28"/>
    <mergeCell ref="B14:I14"/>
    <mergeCell ref="C15:I15"/>
    <mergeCell ref="C16:I16"/>
    <mergeCell ref="C17:I17"/>
    <mergeCell ref="C18:I18"/>
    <mergeCell ref="C19:I19"/>
    <mergeCell ref="C20:I20"/>
    <mergeCell ref="A10:I10"/>
  </mergeCells>
  <pageMargins left="0.7" right="0.7" top="0.75" bottom="0.75" header="0.3" footer="0.3"/>
  <pageSetup paperSize="5" orientation="portrait" r:id="rId1"/>
  <headerFooter>
    <oddHeader xml:space="preserve">&amp;C&amp;"Franklin Gothic Book,Bold"&amp;12&amp;KDF1738FAMILIES&amp;K217CFFUSA&amp;"-,Regular"&amp;11&amp;K01+000
CHW Impact Estimator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J20"/>
  <sheetViews>
    <sheetView showGridLines="0" showRuler="0" view="pageLayout" zoomScale="150" zoomScaleNormal="100" zoomScalePageLayoutView="150" workbookViewId="0">
      <selection activeCell="A2" sqref="A2:J2"/>
    </sheetView>
  </sheetViews>
  <sheetFormatPr defaultColWidth="9.140625" defaultRowHeight="15"/>
  <cols>
    <col min="1" max="1" width="6.85546875" style="327" customWidth="1"/>
  </cols>
  <sheetData>
    <row r="2" spans="1:10" s="335" customFormat="1" ht="20.25">
      <c r="A2" s="399" t="s">
        <v>281</v>
      </c>
      <c r="B2" s="399"/>
      <c r="C2" s="399"/>
      <c r="D2" s="399"/>
      <c r="E2" s="399"/>
      <c r="F2" s="399"/>
      <c r="G2" s="399"/>
      <c r="H2" s="399"/>
      <c r="I2" s="399"/>
      <c r="J2" s="399"/>
    </row>
    <row r="3" spans="1:10" ht="52.5" customHeight="1">
      <c r="A3" s="401" t="s">
        <v>400</v>
      </c>
      <c r="B3" s="401"/>
      <c r="C3" s="401"/>
      <c r="D3" s="401"/>
      <c r="E3" s="401"/>
      <c r="F3" s="401"/>
      <c r="G3" s="401"/>
      <c r="H3" s="401"/>
      <c r="I3" s="401"/>
      <c r="J3" s="401"/>
    </row>
    <row r="4" spans="1:10" ht="16.5">
      <c r="A4" s="409" t="s">
        <v>293</v>
      </c>
      <c r="B4" s="409"/>
    </row>
    <row r="5" spans="1:10" ht="18.75" customHeight="1">
      <c r="A5" s="326" t="s">
        <v>341</v>
      </c>
      <c r="B5" s="408" t="s">
        <v>342</v>
      </c>
      <c r="C5" s="408"/>
      <c r="D5" s="408"/>
      <c r="E5" s="408"/>
      <c r="F5" s="408"/>
      <c r="G5" s="408"/>
      <c r="H5" s="408"/>
      <c r="I5" s="408"/>
      <c r="J5" s="408"/>
    </row>
    <row r="6" spans="1:10" ht="29.25" customHeight="1">
      <c r="A6" s="326" t="s">
        <v>341</v>
      </c>
      <c r="B6" s="408" t="s">
        <v>343</v>
      </c>
      <c r="C6" s="408"/>
      <c r="D6" s="408"/>
      <c r="E6" s="408"/>
      <c r="F6" s="408"/>
      <c r="G6" s="408"/>
      <c r="H6" s="408"/>
      <c r="I6" s="408"/>
      <c r="J6" s="408"/>
    </row>
    <row r="7" spans="1:10" ht="29.25" customHeight="1">
      <c r="A7" s="326" t="s">
        <v>341</v>
      </c>
      <c r="B7" s="408" t="s">
        <v>344</v>
      </c>
      <c r="C7" s="408"/>
      <c r="D7" s="408"/>
      <c r="E7" s="408"/>
      <c r="F7" s="408"/>
      <c r="G7" s="408"/>
      <c r="H7" s="408"/>
      <c r="I7" s="408"/>
      <c r="J7" s="408"/>
    </row>
    <row r="8" spans="1:10" ht="48.75" customHeight="1">
      <c r="A8" s="326" t="s">
        <v>341</v>
      </c>
      <c r="B8" s="408" t="s">
        <v>354</v>
      </c>
      <c r="C8" s="408"/>
      <c r="D8" s="408"/>
      <c r="E8" s="408"/>
      <c r="F8" s="408"/>
      <c r="G8" s="408"/>
      <c r="H8" s="408"/>
      <c r="I8" s="408"/>
      <c r="J8" s="408"/>
    </row>
    <row r="9" spans="1:10" ht="25.5" customHeight="1">
      <c r="A9" s="410" t="s">
        <v>294</v>
      </c>
      <c r="B9" s="410"/>
    </row>
    <row r="10" spans="1:10" ht="17.25" customHeight="1">
      <c r="A10" s="411" t="s">
        <v>295</v>
      </c>
      <c r="B10" s="411"/>
      <c r="C10" s="411"/>
      <c r="D10" s="411"/>
      <c r="E10" s="411"/>
      <c r="F10" s="411"/>
      <c r="G10" s="411"/>
    </row>
    <row r="11" spans="1:10" ht="81.75" customHeight="1">
      <c r="A11" s="328" t="s">
        <v>345</v>
      </c>
      <c r="B11" s="412" t="s">
        <v>405</v>
      </c>
      <c r="C11" s="406"/>
      <c r="D11" s="406"/>
      <c r="E11" s="406"/>
      <c r="F11" s="406"/>
      <c r="G11" s="406"/>
      <c r="H11" s="406"/>
      <c r="I11" s="406"/>
      <c r="J11" s="406"/>
    </row>
    <row r="12" spans="1:10" ht="91.5" customHeight="1">
      <c r="A12" s="329"/>
      <c r="B12" s="406" t="s">
        <v>401</v>
      </c>
      <c r="C12" s="406"/>
      <c r="D12" s="406"/>
      <c r="E12" s="406"/>
      <c r="F12" s="406"/>
      <c r="G12" s="406"/>
      <c r="H12" s="406"/>
      <c r="I12" s="406"/>
      <c r="J12" s="406"/>
    </row>
    <row r="13" spans="1:10" ht="51.75" customHeight="1">
      <c r="A13" s="329"/>
      <c r="B13" s="406" t="s">
        <v>296</v>
      </c>
      <c r="C13" s="406"/>
      <c r="D13" s="406"/>
      <c r="E13" s="406"/>
      <c r="F13" s="406"/>
      <c r="G13" s="406"/>
      <c r="H13" s="406"/>
      <c r="I13" s="406"/>
      <c r="J13" s="406"/>
    </row>
    <row r="14" spans="1:10" ht="123" customHeight="1">
      <c r="A14" s="328" t="s">
        <v>346</v>
      </c>
      <c r="B14" s="413" t="s">
        <v>404</v>
      </c>
      <c r="C14" s="401"/>
      <c r="D14" s="401"/>
      <c r="E14" s="401"/>
      <c r="F14" s="401"/>
      <c r="G14" s="401"/>
      <c r="H14" s="401"/>
      <c r="I14" s="401"/>
      <c r="J14" s="401"/>
    </row>
    <row r="15" spans="1:10" ht="93" customHeight="1">
      <c r="A15" s="329" t="s">
        <v>347</v>
      </c>
      <c r="B15" s="413" t="s">
        <v>403</v>
      </c>
      <c r="C15" s="401"/>
      <c r="D15" s="401"/>
      <c r="E15" s="401"/>
      <c r="F15" s="401"/>
      <c r="G15" s="401"/>
      <c r="H15" s="401"/>
      <c r="I15" s="401"/>
      <c r="J15" s="401"/>
    </row>
    <row r="16" spans="1:10" ht="76.5" customHeight="1">
      <c r="A16" s="329" t="s">
        <v>348</v>
      </c>
      <c r="B16" s="413" t="s">
        <v>402</v>
      </c>
      <c r="C16" s="401"/>
      <c r="D16" s="401"/>
      <c r="E16" s="401"/>
      <c r="F16" s="401"/>
      <c r="G16" s="401"/>
      <c r="H16" s="401"/>
      <c r="I16" s="401"/>
      <c r="J16" s="401"/>
    </row>
    <row r="17" spans="1:10" ht="84" customHeight="1">
      <c r="A17" s="329" t="s">
        <v>349</v>
      </c>
      <c r="B17" s="413" t="s">
        <v>358</v>
      </c>
      <c r="C17" s="401"/>
      <c r="D17" s="401"/>
      <c r="E17" s="401"/>
      <c r="F17" s="401"/>
      <c r="G17" s="401"/>
      <c r="H17" s="401"/>
      <c r="I17" s="401"/>
      <c r="J17" s="401"/>
    </row>
    <row r="18" spans="1:10" ht="31.5" customHeight="1">
      <c r="A18" s="329"/>
      <c r="B18" s="303"/>
      <c r="C18" s="303"/>
      <c r="D18" s="303"/>
      <c r="E18" s="303"/>
      <c r="F18" s="303"/>
      <c r="G18" s="303"/>
      <c r="H18" s="303"/>
      <c r="I18" s="303"/>
      <c r="J18" s="303"/>
    </row>
    <row r="19" spans="1:10" ht="152.25" customHeight="1">
      <c r="A19" s="329" t="s">
        <v>350</v>
      </c>
      <c r="B19" s="413" t="s">
        <v>407</v>
      </c>
      <c r="C19" s="401"/>
      <c r="D19" s="401"/>
      <c r="E19" s="401"/>
      <c r="F19" s="401"/>
      <c r="G19" s="401"/>
      <c r="H19" s="401"/>
      <c r="I19" s="401"/>
      <c r="J19" s="401"/>
    </row>
    <row r="20" spans="1:10" ht="106.5" customHeight="1">
      <c r="A20" s="329" t="s">
        <v>351</v>
      </c>
      <c r="B20" s="413" t="s">
        <v>406</v>
      </c>
      <c r="C20" s="401"/>
      <c r="D20" s="401"/>
      <c r="E20" s="401"/>
      <c r="F20" s="401"/>
      <c r="G20" s="401"/>
      <c r="H20" s="401"/>
      <c r="I20" s="401"/>
      <c r="J20" s="401"/>
    </row>
  </sheetData>
  <mergeCells count="18">
    <mergeCell ref="B11:J11"/>
    <mergeCell ref="B19:J19"/>
    <mergeCell ref="B20:J20"/>
    <mergeCell ref="B12:J12"/>
    <mergeCell ref="B13:J13"/>
    <mergeCell ref="B14:J14"/>
    <mergeCell ref="B15:J15"/>
    <mergeCell ref="B16:J16"/>
    <mergeCell ref="B17:J17"/>
    <mergeCell ref="A2:J2"/>
    <mergeCell ref="A3:J3"/>
    <mergeCell ref="A4:B4"/>
    <mergeCell ref="A9:B9"/>
    <mergeCell ref="A10:G10"/>
    <mergeCell ref="B5:J5"/>
    <mergeCell ref="B6:J6"/>
    <mergeCell ref="B7:J7"/>
    <mergeCell ref="B8:J8"/>
  </mergeCells>
  <pageMargins left="0.7" right="0.7" top="0.75" bottom="0.75" header="0.3" footer="0.3"/>
  <pageSetup paperSize="5" orientation="portrait" r:id="rId1"/>
  <headerFooter>
    <oddHeader>&amp;C&amp;"Franklin Gothic Book,Bold"&amp;12&amp;KDF1738FAMILIES&amp;K217CFFUSA&amp;"-,Regular"&amp;11&amp;K01+000
CHW Impact Estimator</oddHeader>
  </headerFooter>
  <ignoredErrors>
    <ignoredError sqref="A19:A20 A11 A14:A17"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4"/>
  <sheetViews>
    <sheetView showGridLines="0" showRuler="0" view="pageLayout" zoomScale="150" zoomScaleNormal="100" zoomScaleSheetLayoutView="100" zoomScalePageLayoutView="150" workbookViewId="0">
      <selection sqref="A1:D2"/>
    </sheetView>
  </sheetViews>
  <sheetFormatPr defaultRowHeight="15"/>
  <cols>
    <col min="1" max="1" width="30.85546875" customWidth="1"/>
    <col min="2" max="2" width="30.7109375" customWidth="1"/>
    <col min="3" max="3" width="7.7109375" bestFit="1" customWidth="1"/>
    <col min="4" max="4" width="17" style="81" customWidth="1"/>
  </cols>
  <sheetData>
    <row r="1" spans="1:5" s="8" customFormat="1" ht="15" customHeight="1">
      <c r="A1" s="414" t="s">
        <v>410</v>
      </c>
      <c r="B1" s="414"/>
      <c r="C1" s="414"/>
      <c r="D1" s="414"/>
      <c r="E1" s="197"/>
    </row>
    <row r="2" spans="1:5" s="8" customFormat="1" ht="45" customHeight="1">
      <c r="A2" s="414"/>
      <c r="B2" s="414"/>
      <c r="C2" s="414"/>
      <c r="D2" s="414"/>
      <c r="E2" s="197"/>
    </row>
    <row r="3" spans="1:5" ht="5.45" customHeight="1">
      <c r="A3" s="78"/>
      <c r="B3" s="7"/>
      <c r="C3" s="7"/>
    </row>
    <row r="4" spans="1:5" ht="30.75" thickBot="1">
      <c r="A4" s="369" t="s">
        <v>275</v>
      </c>
      <c r="B4" s="434" t="s">
        <v>13</v>
      </c>
      <c r="C4" s="434"/>
      <c r="D4" s="143" t="s">
        <v>12</v>
      </c>
    </row>
    <row r="5" spans="1:5" ht="16.5" thickTop="1" thickBot="1">
      <c r="A5" s="417" t="s">
        <v>11</v>
      </c>
      <c r="B5" s="418"/>
      <c r="C5" s="418"/>
      <c r="D5" s="419"/>
    </row>
    <row r="6" spans="1:5" ht="26.25" thickTop="1">
      <c r="A6" s="190" t="s">
        <v>183</v>
      </c>
      <c r="B6" s="373" t="s">
        <v>184</v>
      </c>
      <c r="C6" s="278">
        <v>2080</v>
      </c>
      <c r="D6" s="191">
        <f>C6</f>
        <v>2080</v>
      </c>
    </row>
    <row r="7" spans="1:5">
      <c r="A7" s="420" t="s">
        <v>182</v>
      </c>
      <c r="B7" s="373" t="s">
        <v>163</v>
      </c>
      <c r="C7" s="79">
        <v>13</v>
      </c>
      <c r="D7" s="435">
        <f>(SUM(C7:C9))*8</f>
        <v>232</v>
      </c>
    </row>
    <row r="8" spans="1:5">
      <c r="A8" s="420"/>
      <c r="B8" s="373" t="s">
        <v>162</v>
      </c>
      <c r="C8" s="80">
        <v>10</v>
      </c>
      <c r="D8" s="435"/>
    </row>
    <row r="9" spans="1:5">
      <c r="A9" s="420"/>
      <c r="B9" s="373" t="s">
        <v>164</v>
      </c>
      <c r="C9" s="79">
        <v>6</v>
      </c>
      <c r="D9" s="435"/>
    </row>
    <row r="10" spans="1:5" ht="54" customHeight="1">
      <c r="A10" s="420" t="s">
        <v>10</v>
      </c>
      <c r="B10" s="373" t="s">
        <v>192</v>
      </c>
      <c r="C10" s="79">
        <v>3</v>
      </c>
      <c r="D10" s="436">
        <f>C10*(52-(D7/40))+C11</f>
        <v>178.60000000000002</v>
      </c>
    </row>
    <row r="11" spans="1:5">
      <c r="A11" s="420"/>
      <c r="B11" s="373" t="s">
        <v>193</v>
      </c>
      <c r="C11" s="79">
        <v>40</v>
      </c>
      <c r="D11" s="437"/>
    </row>
    <row r="12" spans="1:5">
      <c r="A12" s="385" t="s">
        <v>430</v>
      </c>
      <c r="B12" s="386" t="s">
        <v>431</v>
      </c>
      <c r="C12" s="387">
        <v>0</v>
      </c>
      <c r="D12" s="191">
        <f>C12</f>
        <v>0</v>
      </c>
    </row>
    <row r="13" spans="1:5" ht="15.75" thickBot="1">
      <c r="A13" s="426" t="s">
        <v>186</v>
      </c>
      <c r="B13" s="427"/>
      <c r="C13" s="427"/>
      <c r="D13" s="183">
        <f>D6-D7-D10-D12</f>
        <v>1669.4</v>
      </c>
    </row>
    <row r="14" spans="1:5" ht="16.5" thickTop="1" thickBot="1">
      <c r="A14" s="417" t="s">
        <v>194</v>
      </c>
      <c r="B14" s="418"/>
      <c r="C14" s="418"/>
      <c r="D14" s="419"/>
    </row>
    <row r="15" spans="1:5" ht="43.5" customHeight="1" thickTop="1">
      <c r="A15" s="261" t="s">
        <v>185</v>
      </c>
      <c r="B15" s="374" t="s">
        <v>408</v>
      </c>
      <c r="C15" s="189">
        <v>10</v>
      </c>
      <c r="D15" s="262">
        <f>(C15*(1+D31))/60</f>
        <v>0.26666666666666666</v>
      </c>
      <c r="E15" s="147"/>
    </row>
    <row r="16" spans="1:5" ht="29.25" customHeight="1">
      <c r="A16" s="420" t="s">
        <v>9</v>
      </c>
      <c r="B16" s="373" t="s">
        <v>165</v>
      </c>
      <c r="C16" s="79">
        <v>3</v>
      </c>
      <c r="D16" s="428">
        <f>(SUM(C17:C19)*C16)/60</f>
        <v>6.9</v>
      </c>
    </row>
    <row r="17" spans="1:5" ht="29.25" customHeight="1">
      <c r="A17" s="420"/>
      <c r="B17" s="373" t="s">
        <v>8</v>
      </c>
      <c r="C17" s="79">
        <v>60</v>
      </c>
      <c r="D17" s="428"/>
    </row>
    <row r="18" spans="1:5" ht="28.5" customHeight="1">
      <c r="A18" s="420"/>
      <c r="B18" s="373" t="s">
        <v>276</v>
      </c>
      <c r="C18" s="79">
        <v>48</v>
      </c>
      <c r="D18" s="428"/>
    </row>
    <row r="19" spans="1:5" ht="28.5" customHeight="1">
      <c r="A19" s="420"/>
      <c r="B19" s="375" t="s">
        <v>166</v>
      </c>
      <c r="C19" s="79">
        <v>30</v>
      </c>
      <c r="D19" s="428"/>
    </row>
    <row r="20" spans="1:5" ht="28.5" customHeight="1">
      <c r="A20" s="429" t="s">
        <v>7</v>
      </c>
      <c r="B20" s="375" t="s">
        <v>167</v>
      </c>
      <c r="C20" s="79">
        <v>4</v>
      </c>
      <c r="D20" s="430">
        <f>(C20*C21)/60</f>
        <v>2.4</v>
      </c>
    </row>
    <row r="21" spans="1:5">
      <c r="A21" s="429"/>
      <c r="B21" s="376" t="s">
        <v>190</v>
      </c>
      <c r="C21" s="79">
        <v>36</v>
      </c>
      <c r="D21" s="430"/>
    </row>
    <row r="22" spans="1:5" ht="15.75" thickBot="1">
      <c r="A22" s="426" t="s">
        <v>6</v>
      </c>
      <c r="B22" s="427"/>
      <c r="C22" s="427"/>
      <c r="D22" s="184">
        <f>D15+D16+D20</f>
        <v>9.5666666666666664</v>
      </c>
      <c r="E22" s="147"/>
    </row>
    <row r="23" spans="1:5" ht="16.5" thickTop="1" thickBot="1">
      <c r="A23" s="421" t="s">
        <v>5</v>
      </c>
      <c r="B23" s="422"/>
      <c r="C23" s="422"/>
      <c r="D23" s="423"/>
    </row>
    <row r="24" spans="1:5" ht="30.75" thickTop="1">
      <c r="A24" s="192" t="s">
        <v>4</v>
      </c>
      <c r="B24" s="185" t="s">
        <v>191</v>
      </c>
      <c r="C24" s="186">
        <v>2</v>
      </c>
      <c r="D24" s="187">
        <f>(D13/D22)*(1-D33)</f>
        <v>94.230940766550532</v>
      </c>
      <c r="E24" s="146"/>
    </row>
    <row r="25" spans="1:5">
      <c r="A25" s="431" t="s">
        <v>3</v>
      </c>
      <c r="B25" s="432"/>
      <c r="C25" s="432"/>
      <c r="D25" s="188">
        <f>ROUND(C24*D24,0)</f>
        <v>188</v>
      </c>
    </row>
    <row r="26" spans="1:5" ht="3" customHeight="1">
      <c r="A26" s="6"/>
      <c r="B26" s="5"/>
      <c r="C26" s="5"/>
      <c r="D26" s="82"/>
    </row>
    <row r="27" spans="1:5" ht="67.900000000000006" customHeight="1">
      <c r="A27" s="433" t="s">
        <v>409</v>
      </c>
      <c r="B27" s="433"/>
      <c r="C27" s="433"/>
      <c r="D27" s="433"/>
    </row>
    <row r="28" spans="1:5" ht="3.75" customHeight="1" thickBot="1">
      <c r="A28" s="4"/>
      <c r="B28" s="3"/>
      <c r="C28" s="3"/>
      <c r="D28" s="83"/>
    </row>
    <row r="29" spans="1:5" ht="13.9" customHeight="1" thickTop="1" thickBot="1">
      <c r="A29" s="421" t="s">
        <v>2</v>
      </c>
      <c r="B29" s="422"/>
      <c r="C29" s="422"/>
      <c r="D29" s="423"/>
    </row>
    <row r="30" spans="1:5" ht="15.75" thickTop="1">
      <c r="A30" s="415" t="s">
        <v>187</v>
      </c>
      <c r="B30" s="416"/>
      <c r="C30" s="416"/>
      <c r="D30" s="1">
        <f>D32/D31</f>
        <v>581.67247386759584</v>
      </c>
    </row>
    <row r="31" spans="1:5">
      <c r="A31" s="424" t="s">
        <v>0</v>
      </c>
      <c r="B31" s="425"/>
      <c r="C31" s="425"/>
      <c r="D31" s="144">
        <v>0.6</v>
      </c>
    </row>
    <row r="32" spans="1:5">
      <c r="A32" s="415" t="s">
        <v>188</v>
      </c>
      <c r="B32" s="416"/>
      <c r="C32" s="416"/>
      <c r="D32" s="2">
        <f>(D13/D22)*C24</f>
        <v>349.0034843205575</v>
      </c>
    </row>
    <row r="33" spans="1:6">
      <c r="A33" s="424" t="s">
        <v>1</v>
      </c>
      <c r="B33" s="425"/>
      <c r="C33" s="425"/>
      <c r="D33" s="145">
        <v>0.46</v>
      </c>
    </row>
    <row r="34" spans="1:6">
      <c r="A34" s="415" t="s">
        <v>189</v>
      </c>
      <c r="B34" s="416"/>
      <c r="C34" s="416"/>
      <c r="D34" s="2">
        <f>D25</f>
        <v>188</v>
      </c>
      <c r="F34" s="146"/>
    </row>
  </sheetData>
  <sheetProtection sheet="1" formatCells="0" formatColumns="0" formatRows="0" insertColumns="0" insertRows="0" insertHyperlinks="0" deleteColumns="0" deleteRows="0"/>
  <mergeCells count="23">
    <mergeCell ref="A27:D27"/>
    <mergeCell ref="B4:C4"/>
    <mergeCell ref="A5:D5"/>
    <mergeCell ref="A7:A9"/>
    <mergeCell ref="D7:D9"/>
    <mergeCell ref="A10:A11"/>
    <mergeCell ref="D10:D11"/>
    <mergeCell ref="A1:D2"/>
    <mergeCell ref="A34:C34"/>
    <mergeCell ref="A14:D14"/>
    <mergeCell ref="A16:A19"/>
    <mergeCell ref="A29:D29"/>
    <mergeCell ref="A30:C30"/>
    <mergeCell ref="A32:C32"/>
    <mergeCell ref="A33:C33"/>
    <mergeCell ref="A22:C22"/>
    <mergeCell ref="A31:C31"/>
    <mergeCell ref="D16:D19"/>
    <mergeCell ref="A20:A21"/>
    <mergeCell ref="D20:D21"/>
    <mergeCell ref="A23:D23"/>
    <mergeCell ref="A25:C25"/>
    <mergeCell ref="A13:C13"/>
  </mergeCells>
  <dataValidations count="13">
    <dataValidation type="whole" allowBlank="1" showInputMessage="1" showErrorMessage="1" error="Must enter a whole number between 0-30." sqref="C9" xr:uid="{00000000-0002-0000-0500-000000000000}">
      <formula1>0</formula1>
      <formula2>30</formula2>
    </dataValidation>
    <dataValidation type="whole" allowBlank="1" showInputMessage="1" showErrorMessage="1" error="Must enter a number between 0-40." sqref="C7:C8" xr:uid="{00000000-0002-0000-0500-000001000000}">
      <formula1>0</formula1>
      <formula2>40</formula2>
    </dataValidation>
    <dataValidation type="decimal" allowBlank="1" showInputMessage="1" showErrorMessage="1" error="Must enter a number between 0-50." sqref="C16" xr:uid="{00000000-0002-0000-0500-000002000000}">
      <formula1>0</formula1>
      <formula2>50</formula2>
    </dataValidation>
    <dataValidation type="decimal" allowBlank="1" showInputMessage="1" showErrorMessage="1" error="Must enter a number between 0-60." sqref="C15" xr:uid="{00000000-0002-0000-0500-000003000000}">
      <formula1>0</formula1>
      <formula2>60</formula2>
    </dataValidation>
    <dataValidation type="decimal" allowBlank="1" showInputMessage="1" showErrorMessage="1" error="Must enter a number between 0-180." sqref="C17" xr:uid="{00000000-0002-0000-0500-000004000000}">
      <formula1>0</formula1>
      <formula2>180</formula2>
    </dataValidation>
    <dataValidation type="decimal" allowBlank="1" showInputMessage="1" showErrorMessage="1" error="Must enter a number between 0-90." sqref="C18" xr:uid="{00000000-0002-0000-0500-000005000000}">
      <formula1>0</formula1>
      <formula2>130</formula2>
    </dataValidation>
    <dataValidation type="whole" allowBlank="1" showInputMessage="1" showErrorMessage="1" error="Must enter a number between 0-15." sqref="C20" xr:uid="{00000000-0002-0000-0500-000006000000}">
      <formula1>0</formula1>
      <formula2>15</formula2>
    </dataValidation>
    <dataValidation type="whole" allowBlank="1" showInputMessage="1" showErrorMessage="1" error="Must enter a whole number between 0-10." sqref="C25" xr:uid="{00000000-0002-0000-0500-000007000000}">
      <formula1>0</formula1>
      <formula2>10</formula2>
    </dataValidation>
    <dataValidation type="whole" allowBlank="1" showInputMessage="1" showErrorMessage="1" error="Must enter a whole number between 0-100." sqref="C15" xr:uid="{00000000-0002-0000-0500-000008000000}">
      <formula1>0</formula1>
      <formula2>100</formula2>
    </dataValidation>
    <dataValidation type="decimal" allowBlank="1" showInputMessage="1" showErrorMessage="1" error="Must enter a number between 0-10." sqref="C10" xr:uid="{00000000-0002-0000-0500-000009000000}">
      <formula1>0</formula1>
      <formula2>10</formula2>
    </dataValidation>
    <dataValidation type="decimal" allowBlank="1" showInputMessage="1" showErrorMessage="1" error="Must enter a whole number between 0-100." sqref="C11:C12" xr:uid="{00000000-0002-0000-0500-00000A000000}">
      <formula1>0</formula1>
      <formula2>100</formula2>
    </dataValidation>
    <dataValidation type="decimal" allowBlank="1" showInputMessage="1" showErrorMessage="1" error="Must be a number between 0-20." sqref="C24" xr:uid="{00000000-0002-0000-0500-00000B000000}">
      <formula1>0</formula1>
      <formula2>20</formula2>
    </dataValidation>
    <dataValidation type="decimal" allowBlank="1" showInputMessage="1" showErrorMessage="1" error="Must enter a number between 0-90." sqref="C19 C21" xr:uid="{00000000-0002-0000-0500-00000C000000}">
      <formula1>0</formula1>
      <formula2>90</formula2>
    </dataValidation>
  </dataValidations>
  <printOptions horizontalCentered="1"/>
  <pageMargins left="0.7" right="0.7" top="0.75" bottom="0.75" header="0.3" footer="0.3"/>
  <pageSetup paperSize="5" orientation="portrait" r:id="rId1"/>
  <headerFooter>
    <oddHeader>&amp;C&amp;"-,Bold"&amp;14Table 1: Caseload</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60"/>
  <sheetViews>
    <sheetView showGridLines="0" showRuler="0" view="pageLayout" zoomScale="150" zoomScaleNormal="100" zoomScalePageLayoutView="150" workbookViewId="0">
      <selection activeCell="E15" sqref="E15"/>
    </sheetView>
  </sheetViews>
  <sheetFormatPr defaultColWidth="9.140625" defaultRowHeight="15"/>
  <cols>
    <col min="1" max="1" width="18.28515625" style="12" bestFit="1" customWidth="1"/>
    <col min="2" max="2" width="20.28515625" style="12" customWidth="1"/>
    <col min="3" max="3" width="26.7109375" style="12" customWidth="1"/>
    <col min="4" max="4" width="10.7109375" style="13" bestFit="1" customWidth="1"/>
    <col min="5" max="5" width="12.28515625" style="13" bestFit="1" customWidth="1"/>
    <col min="6" max="16384" width="9.140625" style="12"/>
  </cols>
  <sheetData>
    <row r="1" spans="1:5" ht="46.15" customHeight="1">
      <c r="A1" s="414" t="s">
        <v>411</v>
      </c>
      <c r="B1" s="401"/>
      <c r="C1" s="401"/>
      <c r="D1" s="401"/>
      <c r="E1" s="401"/>
    </row>
    <row r="2" spans="1:5">
      <c r="A2" s="37" t="s">
        <v>71</v>
      </c>
      <c r="B2" s="453" t="s">
        <v>70</v>
      </c>
      <c r="C2" s="453"/>
      <c r="D2" s="453"/>
      <c r="E2" s="38" t="s">
        <v>69</v>
      </c>
    </row>
    <row r="3" spans="1:5" ht="15" customHeight="1">
      <c r="A3" s="451" t="s">
        <v>68</v>
      </c>
      <c r="B3" s="452"/>
      <c r="C3" s="452"/>
      <c r="D3" s="452"/>
      <c r="E3" s="26">
        <f>Caseload!D25</f>
        <v>188</v>
      </c>
    </row>
    <row r="4" spans="1:5" ht="15.75" thickBot="1">
      <c r="A4" s="451" t="s">
        <v>67</v>
      </c>
      <c r="B4" s="452"/>
      <c r="C4" s="452"/>
      <c r="D4" s="103"/>
      <c r="E4" s="104">
        <f>Caseload!C24</f>
        <v>2</v>
      </c>
    </row>
    <row r="5" spans="1:5" ht="15.75" customHeight="1" thickBot="1">
      <c r="A5" s="473" t="s">
        <v>96</v>
      </c>
      <c r="B5" s="474"/>
      <c r="C5" s="474"/>
      <c r="D5" s="474"/>
      <c r="E5" s="475"/>
    </row>
    <row r="6" spans="1:5">
      <c r="A6" s="459" t="s">
        <v>66</v>
      </c>
      <c r="B6" s="460"/>
      <c r="C6" s="460"/>
      <c r="D6" s="460"/>
      <c r="E6" s="461"/>
    </row>
    <row r="7" spans="1:5">
      <c r="A7" s="468" t="s">
        <v>95</v>
      </c>
      <c r="B7" s="41"/>
      <c r="C7" s="42" t="s">
        <v>65</v>
      </c>
      <c r="D7" s="42" t="s">
        <v>64</v>
      </c>
      <c r="E7" s="27" t="s">
        <v>63</v>
      </c>
    </row>
    <row r="8" spans="1:5" ht="17.25">
      <c r="A8" s="468"/>
      <c r="B8" s="253" t="s">
        <v>246</v>
      </c>
      <c r="C8" s="132">
        <v>38370</v>
      </c>
      <c r="D8" s="277">
        <f>E4</f>
        <v>2</v>
      </c>
      <c r="E8" s="28">
        <f>D8*C8</f>
        <v>76740</v>
      </c>
    </row>
    <row r="9" spans="1:5" ht="17.25">
      <c r="A9" s="468"/>
      <c r="B9" s="253" t="s">
        <v>355</v>
      </c>
      <c r="C9" s="132">
        <v>54288</v>
      </c>
      <c r="D9" s="266">
        <f>D8*0.1</f>
        <v>0.2</v>
      </c>
      <c r="E9" s="28">
        <f>D9*C9</f>
        <v>10857.6</v>
      </c>
    </row>
    <row r="10" spans="1:5" s="383" customFormat="1">
      <c r="A10" s="468"/>
      <c r="B10" s="384" t="s">
        <v>432</v>
      </c>
      <c r="C10" s="42" t="s">
        <v>65</v>
      </c>
      <c r="D10" s="42" t="s">
        <v>64</v>
      </c>
      <c r="E10" s="28"/>
    </row>
    <row r="11" spans="1:5" s="383" customFormat="1">
      <c r="A11" s="468"/>
      <c r="B11" s="389" t="s">
        <v>91</v>
      </c>
      <c r="C11" s="132">
        <v>0</v>
      </c>
      <c r="D11" s="388"/>
      <c r="E11" s="28">
        <f>D11*C11</f>
        <v>0</v>
      </c>
    </row>
    <row r="12" spans="1:5" s="383" customFormat="1">
      <c r="A12" s="468"/>
      <c r="B12" s="390" t="s">
        <v>91</v>
      </c>
      <c r="C12" s="132">
        <v>0</v>
      </c>
      <c r="D12" s="388"/>
      <c r="E12" s="28">
        <f t="shared" ref="E12:E13" si="0">D12*C12</f>
        <v>0</v>
      </c>
    </row>
    <row r="13" spans="1:5" s="383" customFormat="1">
      <c r="A13" s="468"/>
      <c r="B13" s="390" t="s">
        <v>91</v>
      </c>
      <c r="C13" s="132">
        <v>0</v>
      </c>
      <c r="D13" s="388"/>
      <c r="E13" s="28">
        <f t="shared" si="0"/>
        <v>0</v>
      </c>
    </row>
    <row r="14" spans="1:5">
      <c r="A14" s="468"/>
      <c r="B14" s="470" t="s">
        <v>62</v>
      </c>
      <c r="C14" s="471"/>
      <c r="D14" s="23">
        <f>SUM(D8:D9)</f>
        <v>2.2000000000000002</v>
      </c>
      <c r="E14" s="29">
        <f>SUM(E8:E13)</f>
        <v>87597.6</v>
      </c>
    </row>
    <row r="15" spans="1:5" ht="12" customHeight="1">
      <c r="A15" s="468" t="s">
        <v>60</v>
      </c>
      <c r="B15" s="299" t="s">
        <v>61</v>
      </c>
      <c r="C15" s="39"/>
      <c r="D15" s="40"/>
      <c r="E15" s="29"/>
    </row>
    <row r="16" spans="1:5">
      <c r="A16" s="468"/>
      <c r="B16" s="133">
        <v>0.32</v>
      </c>
      <c r="C16" s="39"/>
      <c r="D16" s="40"/>
      <c r="E16" s="28">
        <f>E14*B16</f>
        <v>28031.232000000004</v>
      </c>
    </row>
    <row r="17" spans="1:5" ht="15.75" customHeight="1" thickBot="1">
      <c r="A17" s="469"/>
      <c r="B17" s="472" t="s">
        <v>59</v>
      </c>
      <c r="C17" s="448"/>
      <c r="D17" s="448"/>
      <c r="E17" s="30">
        <f>+E14+E16</f>
        <v>115628.83200000001</v>
      </c>
    </row>
    <row r="18" spans="1:5" ht="15.75" thickTop="1">
      <c r="A18" s="462" t="s">
        <v>58</v>
      </c>
      <c r="B18" s="463"/>
      <c r="C18" s="463"/>
      <c r="D18" s="463"/>
      <c r="E18" s="464"/>
    </row>
    <row r="19" spans="1:5">
      <c r="A19" s="91"/>
      <c r="B19" s="77" t="s">
        <v>57</v>
      </c>
      <c r="C19" s="77" t="s">
        <v>56</v>
      </c>
      <c r="D19" s="77" t="s">
        <v>55</v>
      </c>
      <c r="E19" s="28"/>
    </row>
    <row r="20" spans="1:5">
      <c r="A20" s="105" t="s">
        <v>54</v>
      </c>
      <c r="B20" s="134">
        <v>0.53500000000000003</v>
      </c>
      <c r="C20" s="135">
        <v>325</v>
      </c>
      <c r="D20" s="248">
        <f>C20*12</f>
        <v>3900</v>
      </c>
      <c r="E20" s="28">
        <f>D20*B20*E4</f>
        <v>4173</v>
      </c>
    </row>
    <row r="21" spans="1:5">
      <c r="A21" s="92"/>
      <c r="B21" s="93" t="s">
        <v>53</v>
      </c>
      <c r="C21" s="94" t="s">
        <v>52</v>
      </c>
      <c r="D21" s="43"/>
      <c r="E21" s="28"/>
    </row>
    <row r="22" spans="1:5">
      <c r="A22" s="106" t="s">
        <v>51</v>
      </c>
      <c r="B22" s="136">
        <v>5</v>
      </c>
      <c r="C22" s="135">
        <v>10</v>
      </c>
      <c r="D22" s="43"/>
      <c r="E22" s="28">
        <f>C22*B22*E4</f>
        <v>100</v>
      </c>
    </row>
    <row r="23" spans="1:5">
      <c r="A23" s="106" t="s">
        <v>50</v>
      </c>
      <c r="B23" s="136">
        <v>10</v>
      </c>
      <c r="C23" s="135">
        <v>8</v>
      </c>
      <c r="D23" s="43"/>
      <c r="E23" s="28">
        <f>C23*B23*E4</f>
        <v>160</v>
      </c>
    </row>
    <row r="24" spans="1:5">
      <c r="A24" s="443"/>
      <c r="B24" s="444"/>
      <c r="C24" s="457" t="s">
        <v>49</v>
      </c>
      <c r="D24" s="457"/>
      <c r="E24" s="29">
        <f>SUM(E20:E23)</f>
        <v>4433</v>
      </c>
    </row>
    <row r="25" spans="1:5" ht="10.15" customHeight="1" thickBot="1">
      <c r="A25" s="454"/>
      <c r="B25" s="455"/>
      <c r="C25" s="455"/>
      <c r="D25" s="455"/>
      <c r="E25" s="31"/>
    </row>
    <row r="26" spans="1:5" ht="15.75" thickTop="1">
      <c r="A26" s="465" t="s">
        <v>48</v>
      </c>
      <c r="B26" s="466"/>
      <c r="C26" s="466"/>
      <c r="D26" s="466"/>
      <c r="E26" s="467"/>
    </row>
    <row r="27" spans="1:5">
      <c r="A27" s="458" t="s">
        <v>257</v>
      </c>
      <c r="B27" s="477" t="s">
        <v>171</v>
      </c>
      <c r="C27" s="477"/>
      <c r="D27" s="84">
        <v>350</v>
      </c>
      <c r="E27" s="44"/>
    </row>
    <row r="28" spans="1:5">
      <c r="A28" s="458"/>
      <c r="B28" s="477" t="s">
        <v>215</v>
      </c>
      <c r="C28" s="477"/>
      <c r="D28" s="85">
        <v>0.33</v>
      </c>
      <c r="E28" s="32">
        <f>E3*D28*D27</f>
        <v>21714.000000000004</v>
      </c>
    </row>
    <row r="29" spans="1:5" ht="27" customHeight="1">
      <c r="A29" s="458"/>
      <c r="B29" s="479" t="s">
        <v>255</v>
      </c>
      <c r="C29" s="479"/>
      <c r="D29" s="210">
        <f>1-D28</f>
        <v>0.66999999999999993</v>
      </c>
      <c r="E29" s="32">
        <f>E3*D29*D27*0.4</f>
        <v>17634.399999999998</v>
      </c>
    </row>
    <row r="30" spans="1:5">
      <c r="A30" s="107" t="s">
        <v>47</v>
      </c>
      <c r="B30" s="476" t="s">
        <v>168</v>
      </c>
      <c r="C30" s="476"/>
      <c r="D30" s="84">
        <v>100</v>
      </c>
      <c r="E30" s="32">
        <f>D30*E4</f>
        <v>200</v>
      </c>
    </row>
    <row r="31" spans="1:5">
      <c r="A31" s="107" t="s">
        <v>46</v>
      </c>
      <c r="B31" s="477" t="s">
        <v>45</v>
      </c>
      <c r="C31" s="477"/>
      <c r="D31" s="84">
        <v>350</v>
      </c>
      <c r="E31" s="32">
        <f>D31*E4</f>
        <v>700</v>
      </c>
    </row>
    <row r="32" spans="1:5" s="19" customFormat="1">
      <c r="A32" s="107" t="s">
        <v>44</v>
      </c>
      <c r="B32" s="477" t="s">
        <v>43</v>
      </c>
      <c r="C32" s="477"/>
      <c r="D32" s="84">
        <v>50</v>
      </c>
      <c r="E32" s="32">
        <f>D32*12*E4</f>
        <v>1200</v>
      </c>
    </row>
    <row r="33" spans="1:5" s="19" customFormat="1" ht="15.75" thickBot="1">
      <c r="A33" s="447" t="s">
        <v>42</v>
      </c>
      <c r="B33" s="448"/>
      <c r="C33" s="448"/>
      <c r="D33" s="448"/>
      <c r="E33" s="33">
        <f>SUM(E28:E32)</f>
        <v>41448.400000000001</v>
      </c>
    </row>
    <row r="34" spans="1:5" s="19" customFormat="1" ht="15.75" thickTop="1">
      <c r="A34" s="465" t="s">
        <v>41</v>
      </c>
      <c r="B34" s="466"/>
      <c r="C34" s="466"/>
      <c r="D34" s="466"/>
      <c r="E34" s="467"/>
    </row>
    <row r="35" spans="1:5" s="19" customFormat="1">
      <c r="A35" s="478" t="s">
        <v>40</v>
      </c>
      <c r="B35" s="456" t="s">
        <v>210</v>
      </c>
      <c r="C35" s="456"/>
      <c r="D35" s="137">
        <v>1000</v>
      </c>
      <c r="E35" s="51">
        <f>D35*E4</f>
        <v>2000</v>
      </c>
    </row>
    <row r="36" spans="1:5" s="19" customFormat="1">
      <c r="A36" s="478"/>
      <c r="B36" s="456" t="s">
        <v>263</v>
      </c>
      <c r="C36" s="456"/>
      <c r="D36" s="137">
        <v>200</v>
      </c>
      <c r="E36" s="51">
        <f>D36*E4</f>
        <v>400</v>
      </c>
    </row>
    <row r="37" spans="1:5" s="19" customFormat="1">
      <c r="A37" s="105" t="s">
        <v>39</v>
      </c>
      <c r="B37" s="456" t="s">
        <v>241</v>
      </c>
      <c r="C37" s="456"/>
      <c r="D37" s="137">
        <v>100</v>
      </c>
      <c r="E37" s="51">
        <f>D37*E4</f>
        <v>200</v>
      </c>
    </row>
    <row r="38" spans="1:5" s="19" customFormat="1">
      <c r="A38" s="482" t="s">
        <v>38</v>
      </c>
      <c r="B38" s="457"/>
      <c r="C38" s="457"/>
      <c r="D38" s="457"/>
      <c r="E38" s="52">
        <f>SUM(E35:E37)</f>
        <v>2600</v>
      </c>
    </row>
    <row r="39" spans="1:5" s="19" customFormat="1">
      <c r="A39" s="45"/>
      <c r="B39" s="76" t="s">
        <v>169</v>
      </c>
      <c r="C39" s="46"/>
      <c r="D39" s="46"/>
      <c r="E39" s="52"/>
    </row>
    <row r="40" spans="1:5" s="19" customFormat="1" ht="18" thickBot="1">
      <c r="A40" s="105" t="s">
        <v>256</v>
      </c>
      <c r="B40" s="138">
        <v>5000</v>
      </c>
      <c r="C40" s="21"/>
      <c r="D40" s="22"/>
      <c r="E40" s="53">
        <f>B40*D14</f>
        <v>11000</v>
      </c>
    </row>
    <row r="41" spans="1:5" s="19" customFormat="1" ht="15.75" thickTop="1">
      <c r="A41" s="465" t="s">
        <v>267</v>
      </c>
      <c r="B41" s="466"/>
      <c r="C41" s="466"/>
      <c r="D41" s="466"/>
      <c r="E41" s="52">
        <f>E17+E24+E33+E38+E40</f>
        <v>175110.23200000002</v>
      </c>
    </row>
    <row r="42" spans="1:5" s="19" customFormat="1">
      <c r="A42" s="442" t="s">
        <v>242</v>
      </c>
      <c r="B42" s="440" t="s">
        <v>91</v>
      </c>
      <c r="C42" s="441"/>
      <c r="D42" s="247"/>
      <c r="E42" s="137">
        <v>0</v>
      </c>
    </row>
    <row r="43" spans="1:5" s="19" customFormat="1">
      <c r="A43" s="442"/>
      <c r="B43" s="440" t="s">
        <v>91</v>
      </c>
      <c r="C43" s="441"/>
      <c r="D43" s="247"/>
      <c r="E43" s="137">
        <v>0</v>
      </c>
    </row>
    <row r="44" spans="1:5" s="19" customFormat="1">
      <c r="A44" s="442"/>
      <c r="B44" s="440" t="s">
        <v>91</v>
      </c>
      <c r="C44" s="441"/>
      <c r="D44" s="247"/>
      <c r="E44" s="137">
        <v>0</v>
      </c>
    </row>
    <row r="45" spans="1:5" s="19" customFormat="1">
      <c r="A45" s="482" t="s">
        <v>170</v>
      </c>
      <c r="B45" s="457"/>
      <c r="C45" s="16"/>
      <c r="D45" s="15"/>
      <c r="E45" s="52"/>
    </row>
    <row r="46" spans="1:5" s="19" customFormat="1" ht="18" thickBot="1">
      <c r="A46" s="35" t="s">
        <v>258</v>
      </c>
      <c r="B46" s="139">
        <v>0.12</v>
      </c>
      <c r="C46" s="21"/>
      <c r="D46" s="22"/>
      <c r="E46" s="54">
        <f>E41*B46</f>
        <v>21013.227840000003</v>
      </c>
    </row>
    <row r="47" spans="1:5" s="19" customFormat="1" ht="16.5" thickTop="1" thickBot="1">
      <c r="A47" s="480" t="s">
        <v>37</v>
      </c>
      <c r="B47" s="481"/>
      <c r="C47" s="481"/>
      <c r="D47" s="481"/>
      <c r="E47" s="55">
        <f>SUM(E41:E46)</f>
        <v>196123.45984000002</v>
      </c>
    </row>
    <row r="48" spans="1:5" ht="15" customHeight="1" thickBot="1">
      <c r="A48" s="473" t="s">
        <v>97</v>
      </c>
      <c r="B48" s="474"/>
      <c r="C48" s="474"/>
      <c r="D48" s="474"/>
      <c r="E48" s="475"/>
    </row>
    <row r="49" spans="1:5">
      <c r="A49" s="34"/>
      <c r="B49" s="445" t="s">
        <v>36</v>
      </c>
      <c r="C49" s="445"/>
      <c r="D49" s="445"/>
      <c r="E49" s="56">
        <f>E47/E3</f>
        <v>1043.2098927659576</v>
      </c>
    </row>
    <row r="50" spans="1:5" ht="15.75" customHeight="1">
      <c r="A50" s="449" t="s">
        <v>35</v>
      </c>
      <c r="B50" s="450"/>
      <c r="C50" s="14" t="s">
        <v>259</v>
      </c>
      <c r="D50" s="275">
        <v>3.3000000000000002E-2</v>
      </c>
      <c r="E50" s="52">
        <f>(E47-E31-E35)+((D50)*(E47-E31-E35))</f>
        <v>199806.43401472003</v>
      </c>
    </row>
    <row r="51" spans="1:5" ht="15.75" customHeight="1">
      <c r="A51" s="449"/>
      <c r="B51" s="450"/>
      <c r="C51" s="14" t="s">
        <v>260</v>
      </c>
      <c r="D51" s="275">
        <v>3.3000000000000002E-2</v>
      </c>
      <c r="E51" s="52">
        <f>(E50*D51)+E50</f>
        <v>206400.0463372058</v>
      </c>
    </row>
    <row r="52" spans="1:5">
      <c r="A52" s="36"/>
      <c r="B52" s="446" t="s">
        <v>34</v>
      </c>
      <c r="C52" s="446"/>
      <c r="D52" s="446"/>
      <c r="E52" s="57">
        <f>E47+E50+E51</f>
        <v>602329.94019192585</v>
      </c>
    </row>
    <row r="53" spans="1:5">
      <c r="A53" s="19"/>
      <c r="B53" s="19"/>
      <c r="C53" s="19"/>
      <c r="D53" s="20"/>
      <c r="E53" s="20"/>
    </row>
    <row r="54" spans="1:5" ht="24.6" customHeight="1">
      <c r="A54" s="438" t="s">
        <v>247</v>
      </c>
      <c r="B54" s="438"/>
      <c r="C54" s="438"/>
      <c r="D54" s="438"/>
      <c r="E54" s="438"/>
    </row>
    <row r="55" spans="1:5">
      <c r="A55" s="439" t="s">
        <v>248</v>
      </c>
      <c r="B55" s="439"/>
      <c r="C55" s="439"/>
      <c r="D55" s="439"/>
      <c r="E55" s="439"/>
    </row>
    <row r="56" spans="1:5" ht="25.5" customHeight="1">
      <c r="A56" s="438" t="s">
        <v>250</v>
      </c>
      <c r="B56" s="438"/>
      <c r="C56" s="438"/>
      <c r="D56" s="438"/>
      <c r="E56" s="438"/>
    </row>
    <row r="57" spans="1:5" ht="24" customHeight="1">
      <c r="A57" s="438" t="s">
        <v>277</v>
      </c>
      <c r="B57" s="438"/>
      <c r="C57" s="438"/>
      <c r="D57" s="438"/>
      <c r="E57" s="438"/>
    </row>
    <row r="58" spans="1:5" ht="23.45" customHeight="1">
      <c r="A58" s="438" t="s">
        <v>412</v>
      </c>
      <c r="B58" s="438"/>
      <c r="C58" s="438"/>
      <c r="D58" s="438"/>
      <c r="E58" s="438"/>
    </row>
    <row r="59" spans="1:5" ht="36" customHeight="1">
      <c r="A59" s="438" t="s">
        <v>413</v>
      </c>
      <c r="B59" s="438"/>
      <c r="C59" s="438"/>
      <c r="D59" s="438"/>
      <c r="E59" s="438"/>
    </row>
    <row r="60" spans="1:5" ht="37.5" customHeight="1">
      <c r="A60" s="438" t="s">
        <v>414</v>
      </c>
      <c r="B60" s="438"/>
      <c r="C60" s="438"/>
      <c r="D60" s="438"/>
      <c r="E60" s="438"/>
    </row>
  </sheetData>
  <sheetProtection sheet="1" formatCells="0" formatColumns="0" formatRows="0" insertColumns="0" insertRows="0" insertHyperlinks="0" deleteColumns="0" deleteRows="0"/>
  <dataConsolidate/>
  <mergeCells count="47">
    <mergeCell ref="A5:E5"/>
    <mergeCell ref="A48:E48"/>
    <mergeCell ref="B30:C30"/>
    <mergeCell ref="B31:C31"/>
    <mergeCell ref="B32:C32"/>
    <mergeCell ref="A35:A36"/>
    <mergeCell ref="B35:C35"/>
    <mergeCell ref="B36:C36"/>
    <mergeCell ref="B29:C29"/>
    <mergeCell ref="A41:D41"/>
    <mergeCell ref="A47:D47"/>
    <mergeCell ref="A45:B45"/>
    <mergeCell ref="A38:D38"/>
    <mergeCell ref="A34:E34"/>
    <mergeCell ref="B27:C27"/>
    <mergeCell ref="B28:C28"/>
    <mergeCell ref="A18:E18"/>
    <mergeCell ref="A26:E26"/>
    <mergeCell ref="A7:A14"/>
    <mergeCell ref="A15:A17"/>
    <mergeCell ref="B14:C14"/>
    <mergeCell ref="B17:D17"/>
    <mergeCell ref="A1:E1"/>
    <mergeCell ref="A60:E60"/>
    <mergeCell ref="A54:E54"/>
    <mergeCell ref="A24:B24"/>
    <mergeCell ref="B49:D49"/>
    <mergeCell ref="B52:D52"/>
    <mergeCell ref="A33:D33"/>
    <mergeCell ref="A50:B51"/>
    <mergeCell ref="A4:C4"/>
    <mergeCell ref="A3:D3"/>
    <mergeCell ref="B2:D2"/>
    <mergeCell ref="A25:D25"/>
    <mergeCell ref="B37:C37"/>
    <mergeCell ref="C24:D24"/>
    <mergeCell ref="A27:A29"/>
    <mergeCell ref="A6:E6"/>
    <mergeCell ref="A57:E57"/>
    <mergeCell ref="A59:E59"/>
    <mergeCell ref="A55:E55"/>
    <mergeCell ref="B42:C42"/>
    <mergeCell ref="B43:C43"/>
    <mergeCell ref="B44:C44"/>
    <mergeCell ref="A42:A44"/>
    <mergeCell ref="A56:E56"/>
    <mergeCell ref="A58:E58"/>
  </mergeCells>
  <dataValidations count="10">
    <dataValidation allowBlank="1" showInputMessage="1" sqref="C8:D9 C11:D13" xr:uid="{00000000-0002-0000-0600-000000000000}"/>
    <dataValidation type="decimal" allowBlank="1" showInputMessage="1" showErrorMessage="1" error="Must insert dollar value between 0 and 3,000." sqref="D27" xr:uid="{00000000-0002-0000-0600-000001000000}">
      <formula1>0</formula1>
      <formula2>3000</formula2>
    </dataValidation>
    <dataValidation type="decimal" allowBlank="1" showInputMessage="1" showErrorMessage="1" error="Must insert a dollar value between 0 and 1000." sqref="D30" xr:uid="{00000000-0002-0000-0600-000002000000}">
      <formula1>0</formula1>
      <formula2>1000</formula2>
    </dataValidation>
    <dataValidation type="decimal" allowBlank="1" showInputMessage="1" showErrorMessage="1" error="Must insert a dollar value between 0 and 3000." sqref="D31" xr:uid="{00000000-0002-0000-0600-000003000000}">
      <formula1>0</formula1>
      <formula2>3000</formula2>
    </dataValidation>
    <dataValidation type="decimal" allowBlank="1" showInputMessage="1" showErrorMessage="1" error="Must insert a dollar value between 0 and 500." sqref="D32" xr:uid="{00000000-0002-0000-0600-000004000000}">
      <formula1>0</formula1>
      <formula2>500</formula2>
    </dataValidation>
    <dataValidation type="decimal" allowBlank="1" showInputMessage="1" showErrorMessage="1" error="Must enter a dollar value between 0 and 10000." sqref="D35" xr:uid="{00000000-0002-0000-0600-000005000000}">
      <formula1>0</formula1>
      <formula2>10000</formula2>
    </dataValidation>
    <dataValidation type="decimal" allowBlank="1" showInputMessage="1" showErrorMessage="1" error="Must enter a dollar value between 0 and 500." sqref="D36" xr:uid="{00000000-0002-0000-0600-000006000000}">
      <formula1>0</formula1>
      <formula2>500</formula2>
    </dataValidation>
    <dataValidation type="decimal" allowBlank="1" showInputMessage="1" showErrorMessage="1" error="Must be a number between 0-1000." sqref="C20 D37" xr:uid="{00000000-0002-0000-0600-000007000000}">
      <formula1>0</formula1>
      <formula2>1000</formula2>
    </dataValidation>
    <dataValidation type="decimal" allowBlank="1" showInputMessage="1" showErrorMessage="1" error="Must be a number between 0-50000." sqref="B40" xr:uid="{00000000-0002-0000-0600-000008000000}">
      <formula1>0</formula1>
      <formula2>50000</formula2>
    </dataValidation>
    <dataValidation type="whole" allowBlank="1" showInputMessage="1" showErrorMessage="1" error="Must be a percentage between 0-100." sqref="B46" xr:uid="{0ECDBE62-9F16-40F6-9326-56432B928B50}">
      <formula1>0</formula1>
      <formula2>100</formula2>
    </dataValidation>
  </dataValidations>
  <hyperlinks>
    <hyperlink ref="A55:E55" r:id="rId1" display="https://www.bls.gov/oes/current/oes211094.htm" xr:uid="{00000000-0004-0000-0600-000000000000}"/>
  </hyperlinks>
  <printOptions horizontalCentered="1"/>
  <pageMargins left="0.7" right="0.7" top="0.75" bottom="0.75" header="0.3" footer="0.3"/>
  <pageSetup paperSize="5" scale="90" orientation="portrait" r:id="rId2"/>
  <headerFooter>
    <oddHeader>&amp;C&amp;"-,Bold"&amp;14Table 2: Budget</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50"/>
  <sheetViews>
    <sheetView showGridLines="0" showRuler="0" view="pageLayout" zoomScale="150" zoomScaleNormal="150" zoomScalePageLayoutView="150" workbookViewId="0">
      <selection sqref="A1:D1"/>
    </sheetView>
  </sheetViews>
  <sheetFormatPr defaultColWidth="70.42578125" defaultRowHeight="15"/>
  <cols>
    <col min="1" max="1" width="32" customWidth="1"/>
    <col min="2" max="2" width="19.28515625" customWidth="1"/>
    <col min="3" max="3" width="23.42578125" customWidth="1"/>
    <col min="4" max="4" width="20.140625" customWidth="1"/>
    <col min="5" max="5" width="70.42578125" customWidth="1"/>
  </cols>
  <sheetData>
    <row r="1" spans="1:6" s="9" customFormat="1" ht="175.5" customHeight="1">
      <c r="A1" s="414" t="s">
        <v>423</v>
      </c>
      <c r="B1" s="414"/>
      <c r="C1" s="414"/>
      <c r="D1" s="414"/>
    </row>
    <row r="2" spans="1:6" s="9" customFormat="1">
      <c r="A2" s="149" t="s">
        <v>200</v>
      </c>
      <c r="B2" s="140"/>
      <c r="C2" s="140"/>
      <c r="D2" s="108"/>
    </row>
    <row r="3" spans="1:6" s="9" customFormat="1">
      <c r="A3" s="148" t="s">
        <v>199</v>
      </c>
      <c r="B3" s="86" t="s">
        <v>198</v>
      </c>
    </row>
    <row r="4" spans="1:6" s="9" customFormat="1">
      <c r="A4" s="11"/>
    </row>
    <row r="5" spans="1:6" s="9" customFormat="1">
      <c r="A5" s="47" t="s">
        <v>415</v>
      </c>
      <c r="B5" s="49"/>
      <c r="C5" s="48"/>
    </row>
    <row r="6" spans="1:6" s="9" customFormat="1" ht="31.9" customHeight="1">
      <c r="A6" s="485" t="s">
        <v>429</v>
      </c>
      <c r="B6" s="485"/>
      <c r="C6" s="486"/>
      <c r="D6" s="486"/>
    </row>
    <row r="7" spans="1:6" s="9" customFormat="1" ht="30">
      <c r="A7" s="87" t="s">
        <v>175</v>
      </c>
      <c r="B7" s="87" t="s">
        <v>428</v>
      </c>
      <c r="C7" s="370"/>
      <c r="D7" s="49"/>
    </row>
    <row r="8" spans="1:6" s="9" customFormat="1" ht="30">
      <c r="A8" s="268" t="s">
        <v>174</v>
      </c>
      <c r="B8" s="204">
        <v>1.77</v>
      </c>
    </row>
    <row r="9" spans="1:6" s="9" customFormat="1">
      <c r="A9" s="269" t="s">
        <v>172</v>
      </c>
      <c r="B9" s="204">
        <v>2.73</v>
      </c>
    </row>
    <row r="10" spans="1:6" s="9" customFormat="1">
      <c r="A10" s="269" t="s">
        <v>173</v>
      </c>
      <c r="B10" s="204">
        <v>0.61</v>
      </c>
    </row>
    <row r="11" spans="1:6" s="9" customFormat="1">
      <c r="A11" s="11"/>
    </row>
    <row r="12" spans="1:6" s="9" customFormat="1">
      <c r="A12" s="483" t="s">
        <v>422</v>
      </c>
      <c r="B12" s="483"/>
      <c r="C12" s="484"/>
      <c r="D12" s="484"/>
      <c r="E12" s="25"/>
      <c r="F12" s="25"/>
    </row>
    <row r="13" spans="1:6" s="9" customFormat="1" ht="30">
      <c r="A13" s="87" t="s">
        <v>175</v>
      </c>
      <c r="B13" s="87" t="s">
        <v>428</v>
      </c>
      <c r="C13" s="370"/>
      <c r="D13" s="49"/>
    </row>
    <row r="14" spans="1:6" s="10" customFormat="1" ht="30">
      <c r="A14" s="268" t="s">
        <v>174</v>
      </c>
      <c r="B14" s="203">
        <v>1.77</v>
      </c>
    </row>
    <row r="15" spans="1:6" s="10" customFormat="1" ht="15" hidden="1" customHeight="1">
      <c r="A15" s="270" t="s">
        <v>15</v>
      </c>
      <c r="B15" s="267">
        <v>0.52</v>
      </c>
    </row>
    <row r="16" spans="1:6" s="10" customFormat="1" ht="15.75" hidden="1" customHeight="1">
      <c r="A16" s="270" t="s">
        <v>14</v>
      </c>
      <c r="B16" s="267">
        <v>0.48</v>
      </c>
    </row>
    <row r="17" spans="1:4" s="10" customFormat="1">
      <c r="A17" s="269" t="s">
        <v>172</v>
      </c>
      <c r="B17" s="203">
        <v>2.73</v>
      </c>
    </row>
    <row r="18" spans="1:4" s="10" customFormat="1" ht="15" hidden="1" customHeight="1">
      <c r="A18" s="270" t="s">
        <v>15</v>
      </c>
      <c r="B18" s="267">
        <v>0.78</v>
      </c>
    </row>
    <row r="19" spans="1:4" s="10" customFormat="1" ht="15.75" hidden="1" customHeight="1">
      <c r="A19" s="270" t="s">
        <v>14</v>
      </c>
      <c r="B19" s="267">
        <v>0.3</v>
      </c>
    </row>
    <row r="20" spans="1:4" s="10" customFormat="1">
      <c r="A20" s="269" t="s">
        <v>173</v>
      </c>
      <c r="B20" s="203">
        <v>0.61</v>
      </c>
    </row>
    <row r="21" spans="1:4" s="10" customFormat="1" ht="13.9" hidden="1" customHeight="1">
      <c r="A21" s="270" t="s">
        <v>15</v>
      </c>
      <c r="B21" s="267">
        <v>0.3</v>
      </c>
    </row>
    <row r="22" spans="1:4" s="10" customFormat="1" hidden="1">
      <c r="A22" s="270" t="s">
        <v>14</v>
      </c>
      <c r="B22" s="267">
        <v>0.08</v>
      </c>
    </row>
    <row r="23" spans="1:4" s="10" customFormat="1">
      <c r="A23" s="286"/>
      <c r="B23" s="287"/>
      <c r="C23" s="287"/>
      <c r="D23" s="288"/>
    </row>
    <row r="24" spans="1:4" s="10" customFormat="1" ht="31.5" customHeight="1">
      <c r="A24" s="492" t="s">
        <v>424</v>
      </c>
      <c r="B24" s="492"/>
      <c r="C24" s="492"/>
      <c r="D24" s="492"/>
    </row>
    <row r="25" spans="1:4">
      <c r="A25" s="179"/>
      <c r="B25" s="212"/>
      <c r="C25" s="180" t="s">
        <v>21</v>
      </c>
      <c r="D25" s="181" t="s">
        <v>20</v>
      </c>
    </row>
    <row r="26" spans="1:4">
      <c r="A26" s="179"/>
      <c r="B26" s="212"/>
      <c r="C26" s="212"/>
      <c r="D26" s="213"/>
    </row>
    <row r="27" spans="1:4" ht="15.75" thickBot="1">
      <c r="A27" s="58" t="s">
        <v>19</v>
      </c>
      <c r="B27" s="214"/>
      <c r="C27" s="59">
        <f>Caseload!D25</f>
        <v>188</v>
      </c>
      <c r="D27" s="60">
        <f>Caseload!D25</f>
        <v>188</v>
      </c>
    </row>
    <row r="28" spans="1:4" ht="15" customHeight="1" thickBot="1">
      <c r="A28" s="487" t="s">
        <v>220</v>
      </c>
      <c r="B28" s="488"/>
      <c r="C28" s="488"/>
      <c r="D28" s="489"/>
    </row>
    <row r="29" spans="1:4" ht="15.75" thickBot="1">
      <c r="A29" s="216" t="s">
        <v>18</v>
      </c>
      <c r="B29" s="211"/>
      <c r="C29" s="220"/>
      <c r="D29" s="221"/>
    </row>
    <row r="30" spans="1:4">
      <c r="A30" s="490" t="s">
        <v>261</v>
      </c>
      <c r="B30" s="491"/>
      <c r="C30" s="225">
        <f>IF(B3="My own data",B8,B14)</f>
        <v>1.77</v>
      </c>
      <c r="D30" s="226"/>
    </row>
    <row r="31" spans="1:4">
      <c r="A31" s="215"/>
      <c r="B31" s="178" t="s">
        <v>222</v>
      </c>
      <c r="C31" s="222">
        <f>C30*C27</f>
        <v>332.76</v>
      </c>
      <c r="D31" s="222">
        <f>B15*C30*D27</f>
        <v>173.0352</v>
      </c>
    </row>
    <row r="32" spans="1:4">
      <c r="A32" s="215"/>
      <c r="B32" s="178" t="s">
        <v>223</v>
      </c>
      <c r="C32" s="222">
        <f>C31</f>
        <v>332.76</v>
      </c>
      <c r="D32" s="222">
        <f>B16*D27*C30</f>
        <v>159.72479999999999</v>
      </c>
    </row>
    <row r="33" spans="1:4">
      <c r="A33" s="215"/>
      <c r="B33" s="182" t="s">
        <v>228</v>
      </c>
      <c r="C33" s="227"/>
      <c r="D33" s="223">
        <f>D31-D32</f>
        <v>13.310400000000016</v>
      </c>
    </row>
    <row r="34" spans="1:4">
      <c r="A34" s="215"/>
      <c r="B34" s="182" t="s">
        <v>229</v>
      </c>
      <c r="C34" s="227"/>
      <c r="D34" s="224">
        <f>D33/(C31-D31)</f>
        <v>8.333333333333344E-2</v>
      </c>
    </row>
    <row r="35" spans="1:4" ht="15.75" thickBot="1">
      <c r="A35" s="216" t="s">
        <v>17</v>
      </c>
      <c r="B35" s="211"/>
      <c r="C35" s="220"/>
      <c r="D35" s="221"/>
    </row>
    <row r="36" spans="1:4">
      <c r="A36" s="490" t="s">
        <v>216</v>
      </c>
      <c r="B36" s="491"/>
      <c r="C36" s="225">
        <f>IF(B3="My own data",B9,B17)</f>
        <v>2.73</v>
      </c>
      <c r="D36" s="226"/>
    </row>
    <row r="37" spans="1:4">
      <c r="A37" s="215"/>
      <c r="B37" s="178" t="s">
        <v>222</v>
      </c>
      <c r="C37" s="222">
        <f>C36*C27</f>
        <v>513.24</v>
      </c>
      <c r="D37" s="222">
        <f>B18*C36*D27</f>
        <v>400.3272</v>
      </c>
    </row>
    <row r="38" spans="1:4">
      <c r="A38" s="215"/>
      <c r="B38" s="178" t="s">
        <v>223</v>
      </c>
      <c r="C38" s="222">
        <f>C37</f>
        <v>513.24</v>
      </c>
      <c r="D38" s="222">
        <f>B19*D27*C36</f>
        <v>153.97200000000001</v>
      </c>
    </row>
    <row r="39" spans="1:4">
      <c r="A39" s="215"/>
      <c r="B39" s="182" t="s">
        <v>228</v>
      </c>
      <c r="C39" s="227"/>
      <c r="D39" s="223">
        <f>D37-D38</f>
        <v>246.3552</v>
      </c>
    </row>
    <row r="40" spans="1:4">
      <c r="A40" s="215"/>
      <c r="B40" s="182" t="s">
        <v>229</v>
      </c>
      <c r="C40" s="227"/>
      <c r="D40" s="224">
        <f>D39/(C37-D37)</f>
        <v>2.1818181818181817</v>
      </c>
    </row>
    <row r="41" spans="1:4" ht="15.75" thickBot="1">
      <c r="A41" s="216" t="s">
        <v>16</v>
      </c>
      <c r="B41" s="211"/>
      <c r="C41" s="220"/>
      <c r="D41" s="221"/>
    </row>
    <row r="42" spans="1:4">
      <c r="A42" s="490" t="s">
        <v>216</v>
      </c>
      <c r="B42" s="491"/>
      <c r="C42" s="225">
        <f>IF(B3="My own data",B10,B20)</f>
        <v>0.61</v>
      </c>
      <c r="D42" s="226"/>
    </row>
    <row r="43" spans="1:4">
      <c r="A43" s="215"/>
      <c r="B43" s="178" t="s">
        <v>222</v>
      </c>
      <c r="C43" s="222">
        <f>C42*C27</f>
        <v>114.67999999999999</v>
      </c>
      <c r="D43" s="222">
        <f>B21*C42*D27</f>
        <v>34.403999999999996</v>
      </c>
    </row>
    <row r="44" spans="1:4">
      <c r="A44" s="215"/>
      <c r="B44" s="178" t="s">
        <v>223</v>
      </c>
      <c r="C44" s="222">
        <f>C43</f>
        <v>114.67999999999999</v>
      </c>
      <c r="D44" s="222">
        <f>B22*D27*C42</f>
        <v>9.1744000000000003</v>
      </c>
    </row>
    <row r="45" spans="1:4">
      <c r="A45" s="215"/>
      <c r="B45" s="182" t="s">
        <v>228</v>
      </c>
      <c r="C45" s="227"/>
      <c r="D45" s="223">
        <f>D43-D44</f>
        <v>25.229599999999998</v>
      </c>
    </row>
    <row r="46" spans="1:4">
      <c r="A46" s="215"/>
      <c r="B46" s="182" t="s">
        <v>229</v>
      </c>
      <c r="C46" s="227"/>
      <c r="D46" s="224">
        <f>D45/(C43-D43)</f>
        <v>0.31428571428571428</v>
      </c>
    </row>
    <row r="48" spans="1:4" ht="36.75" customHeight="1">
      <c r="A48" s="438" t="s">
        <v>262</v>
      </c>
      <c r="B48" s="438"/>
      <c r="C48" s="438"/>
      <c r="D48" s="438"/>
    </row>
    <row r="50" spans="1:4" ht="24" customHeight="1">
      <c r="A50" s="438"/>
      <c r="B50" s="438"/>
      <c r="C50" s="438"/>
      <c r="D50" s="438"/>
    </row>
  </sheetData>
  <sheetProtection sheet="1" formatCells="0" formatColumns="0" formatRows="0" insertColumns="0" insertRows="0" insertHyperlinks="0" deleteColumns="0" deleteRows="0"/>
  <mergeCells count="10">
    <mergeCell ref="A1:D1"/>
    <mergeCell ref="A12:D12"/>
    <mergeCell ref="A6:D6"/>
    <mergeCell ref="A50:D50"/>
    <mergeCell ref="A28:D28"/>
    <mergeCell ref="A30:B30"/>
    <mergeCell ref="A36:B36"/>
    <mergeCell ref="A42:B42"/>
    <mergeCell ref="A48:D48"/>
    <mergeCell ref="A24:D24"/>
  </mergeCells>
  <dataValidations disablePrompts="1" count="3">
    <dataValidation type="decimal" allowBlank="1" showInputMessage="1" showErrorMessage="1" error="Must enter a value between 0.00 and 10.00." sqref="B14" xr:uid="{00000000-0002-0000-0700-000000000000}">
      <formula1>0</formula1>
      <formula2>10</formula2>
    </dataValidation>
    <dataValidation type="decimal" allowBlank="1" showInputMessage="1" showErrorMessage="1" error="Must enter a value between 0.00 and 25.00." sqref="B17" xr:uid="{00000000-0002-0000-0700-000001000000}">
      <formula1>0</formula1>
      <formula2>25</formula2>
    </dataValidation>
    <dataValidation type="decimal" allowBlank="1" showInputMessage="1" showErrorMessage="1" error="Must enter a value between 0.00 and 6.00." sqref="B20" xr:uid="{00000000-0002-0000-0700-000002000000}">
      <formula1>0</formula1>
      <formula2>6</formula2>
    </dataValidation>
  </dataValidations>
  <printOptions horizontalCentered="1"/>
  <pageMargins left="0.7" right="0.7" top="0.75" bottom="0.75" header="0.3" footer="0.3"/>
  <pageSetup paperSize="5" scale="95" orientation="portrait" r:id="rId1"/>
  <headerFooter>
    <oddHeader>&amp;C&amp;"-,Bold"&amp;14Table 3 A: Health Outcomes Projections</oddHeader>
  </headerFooter>
  <ignoredErrors>
    <ignoredError sqref="B15:B16 B18:B19" unlockedFormula="1"/>
  </ignoredError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700-000003000000}">
          <x14:formula1>
            <xm:f>Appendix!$A$87:$A$88</xm:f>
          </x14:formula1>
          <xm:sqref>B3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46"/>
  <sheetViews>
    <sheetView showGridLines="0" showRuler="0" view="pageLayout" zoomScale="150" zoomScaleNormal="70" zoomScalePageLayoutView="150" workbookViewId="0">
      <selection activeCell="A27" sqref="A27"/>
    </sheetView>
  </sheetViews>
  <sheetFormatPr defaultColWidth="70.42578125" defaultRowHeight="15"/>
  <cols>
    <col min="1" max="1" width="34.7109375" customWidth="1"/>
    <col min="2" max="2" width="19.7109375" customWidth="1"/>
    <col min="3" max="3" width="23.42578125" customWidth="1"/>
    <col min="4" max="4" width="20.140625" customWidth="1"/>
    <col min="5" max="5" width="70.42578125" customWidth="1"/>
  </cols>
  <sheetData>
    <row r="1" spans="1:6" s="9" customFormat="1" ht="15" customHeight="1">
      <c r="A1" s="498" t="s">
        <v>195</v>
      </c>
      <c r="B1" s="499"/>
      <c r="C1" s="499"/>
      <c r="D1" s="499"/>
    </row>
    <row r="2" spans="1:6" s="9" customFormat="1" ht="46.5" customHeight="1">
      <c r="A2" s="500" t="s">
        <v>416</v>
      </c>
      <c r="B2" s="500"/>
      <c r="C2" s="500"/>
      <c r="D2" s="500"/>
    </row>
    <row r="3" spans="1:6" s="9" customFormat="1">
      <c r="A3" s="333" t="s">
        <v>200</v>
      </c>
      <c r="B3" s="332"/>
      <c r="C3" s="332"/>
      <c r="D3" s="334"/>
    </row>
    <row r="4" spans="1:6" s="9" customFormat="1">
      <c r="A4" s="343" t="s">
        <v>199</v>
      </c>
      <c r="B4" s="204" t="s">
        <v>198</v>
      </c>
      <c r="C4" s="344"/>
      <c r="D4" s="344"/>
    </row>
    <row r="5" spans="1:6" s="9" customFormat="1">
      <c r="A5" s="345"/>
      <c r="B5" s="344"/>
      <c r="C5" s="344"/>
      <c r="D5" s="344"/>
    </row>
    <row r="6" spans="1:6" s="9" customFormat="1" ht="30">
      <c r="A6" s="502" t="s">
        <v>21</v>
      </c>
      <c r="B6" s="503"/>
      <c r="C6" s="240" t="s">
        <v>249</v>
      </c>
      <c r="D6" s="240" t="s">
        <v>196</v>
      </c>
    </row>
    <row r="7" spans="1:6" s="9" customFormat="1">
      <c r="A7" s="504" t="s">
        <v>417</v>
      </c>
      <c r="B7" s="504"/>
      <c r="C7" s="204">
        <v>5</v>
      </c>
      <c r="D7" s="276">
        <f>Caseload!D25</f>
        <v>188</v>
      </c>
    </row>
    <row r="8" spans="1:6" s="9" customFormat="1">
      <c r="A8" s="505" t="s">
        <v>217</v>
      </c>
      <c r="B8" s="505"/>
      <c r="C8" s="204">
        <v>7</v>
      </c>
      <c r="D8" s="276">
        <f>Caseload!D25</f>
        <v>188</v>
      </c>
    </row>
    <row r="9" spans="1:6" s="9" customFormat="1">
      <c r="A9" s="505" t="s">
        <v>227</v>
      </c>
      <c r="B9" s="505"/>
      <c r="C9" s="204">
        <v>0</v>
      </c>
      <c r="D9" s="276">
        <f>Caseload!D25</f>
        <v>188</v>
      </c>
    </row>
    <row r="10" spans="1:6" s="9" customFormat="1">
      <c r="A10" s="345"/>
      <c r="B10" s="344"/>
      <c r="C10" s="344"/>
      <c r="D10" s="344"/>
    </row>
    <row r="11" spans="1:6" s="8" customFormat="1" ht="18" customHeight="1">
      <c r="A11" s="497" t="s">
        <v>422</v>
      </c>
      <c r="B11" s="497"/>
      <c r="C11" s="497"/>
      <c r="D11" s="497"/>
      <c r="E11" s="271"/>
      <c r="F11" s="271"/>
    </row>
    <row r="12" spans="1:6" s="9" customFormat="1" ht="30">
      <c r="A12" s="502" t="s">
        <v>21</v>
      </c>
      <c r="B12" s="503"/>
      <c r="C12" s="240" t="s">
        <v>249</v>
      </c>
      <c r="D12" s="240" t="s">
        <v>196</v>
      </c>
    </row>
    <row r="13" spans="1:6" s="10" customFormat="1">
      <c r="A13" s="504" t="s">
        <v>417</v>
      </c>
      <c r="B13" s="504"/>
      <c r="C13" s="206">
        <v>5.3</v>
      </c>
      <c r="D13" s="206">
        <f>Caseload!D25</f>
        <v>188</v>
      </c>
    </row>
    <row r="14" spans="1:6" s="10" customFormat="1" ht="15" hidden="1" customHeight="1">
      <c r="A14" s="501" t="s">
        <v>15</v>
      </c>
      <c r="B14" s="501"/>
      <c r="C14" s="267">
        <v>0.77</v>
      </c>
      <c r="D14" s="267"/>
    </row>
    <row r="15" spans="1:6" s="10" customFormat="1" ht="15.75" hidden="1" customHeight="1">
      <c r="A15" s="501" t="s">
        <v>14</v>
      </c>
      <c r="B15" s="501"/>
      <c r="C15" s="267">
        <v>0.38</v>
      </c>
      <c r="D15" s="267"/>
    </row>
    <row r="16" spans="1:6" s="10" customFormat="1">
      <c r="A16" s="505" t="s">
        <v>217</v>
      </c>
      <c r="B16" s="505"/>
      <c r="C16" s="206">
        <v>6.6</v>
      </c>
      <c r="D16" s="206">
        <f>D13</f>
        <v>188</v>
      </c>
    </row>
    <row r="17" spans="1:4" s="10" customFormat="1" ht="15" hidden="1" customHeight="1">
      <c r="A17" s="501" t="s">
        <v>15</v>
      </c>
      <c r="B17" s="501"/>
      <c r="C17" s="267">
        <v>1.32</v>
      </c>
      <c r="D17" s="267"/>
    </row>
    <row r="18" spans="1:4" s="10" customFormat="1" ht="15.75" hidden="1" customHeight="1">
      <c r="A18" s="501" t="s">
        <v>14</v>
      </c>
      <c r="B18" s="501"/>
      <c r="C18" s="267">
        <v>1.77</v>
      </c>
      <c r="D18" s="267"/>
    </row>
    <row r="19" spans="1:4" s="10" customFormat="1">
      <c r="A19" s="505" t="s">
        <v>227</v>
      </c>
      <c r="B19" s="505"/>
      <c r="C19" s="206">
        <v>0</v>
      </c>
      <c r="D19" s="206">
        <f>D13</f>
        <v>188</v>
      </c>
    </row>
    <row r="20" spans="1:4" s="10" customFormat="1" hidden="1">
      <c r="A20" s="501" t="s">
        <v>15</v>
      </c>
      <c r="B20" s="501"/>
      <c r="C20" s="267">
        <v>0.17</v>
      </c>
      <c r="D20" s="267"/>
    </row>
    <row r="21" spans="1:4" s="10" customFormat="1" hidden="1">
      <c r="A21" s="501" t="s">
        <v>14</v>
      </c>
      <c r="B21" s="501"/>
      <c r="C21" s="267">
        <v>0.45</v>
      </c>
      <c r="D21" s="267"/>
    </row>
    <row r="22" spans="1:4" s="10" customFormat="1">
      <c r="A22" s="346"/>
      <c r="B22" s="346"/>
      <c r="C22" s="346"/>
      <c r="D22" s="346"/>
    </row>
    <row r="23" spans="1:4" s="10" customFormat="1" ht="32.25" customHeight="1">
      <c r="A23" s="496" t="s">
        <v>424</v>
      </c>
      <c r="B23" s="496"/>
      <c r="C23" s="496"/>
      <c r="D23" s="496"/>
    </row>
    <row r="24" spans="1:4">
      <c r="A24" s="347"/>
      <c r="B24" s="348"/>
      <c r="C24" s="349" t="s">
        <v>21</v>
      </c>
      <c r="D24" s="350" t="s">
        <v>20</v>
      </c>
    </row>
    <row r="25" spans="1:4">
      <c r="A25" s="494" t="s">
        <v>19</v>
      </c>
      <c r="B25" s="495"/>
      <c r="C25" s="351">
        <f>Caseload!D25</f>
        <v>188</v>
      </c>
      <c r="D25" s="351">
        <f>Caseload!D25</f>
        <v>188</v>
      </c>
    </row>
    <row r="26" spans="1:4" ht="15" customHeight="1">
      <c r="A26" s="493" t="s">
        <v>221</v>
      </c>
      <c r="B26" s="493"/>
      <c r="C26" s="493"/>
      <c r="D26" s="493"/>
    </row>
    <row r="27" spans="1:4">
      <c r="A27" s="352" t="s">
        <v>418</v>
      </c>
      <c r="B27" s="353"/>
      <c r="C27" s="353"/>
      <c r="D27" s="353"/>
    </row>
    <row r="28" spans="1:4">
      <c r="A28" s="354"/>
      <c r="B28" s="355" t="s">
        <v>224</v>
      </c>
      <c r="C28" s="356">
        <f>IF(B4="My own data",C7,C13)</f>
        <v>5.3</v>
      </c>
      <c r="D28" s="357">
        <f>C28*C14</f>
        <v>4.0809999999999995</v>
      </c>
    </row>
    <row r="29" spans="1:4">
      <c r="A29" s="354"/>
      <c r="B29" s="355" t="s">
        <v>225</v>
      </c>
      <c r="C29" s="357">
        <f>IF(B4="My own data",C7,C13)</f>
        <v>5.3</v>
      </c>
      <c r="D29" s="357">
        <f>C29*C15</f>
        <v>2.0139999999999998</v>
      </c>
    </row>
    <row r="30" spans="1:4">
      <c r="A30" s="354"/>
      <c r="B30" s="358" t="s">
        <v>228</v>
      </c>
      <c r="C30" s="359"/>
      <c r="D30" s="360">
        <f>D28-D29</f>
        <v>2.0669999999999997</v>
      </c>
    </row>
    <row r="31" spans="1:4">
      <c r="A31" s="354"/>
      <c r="B31" s="358" t="s">
        <v>229</v>
      </c>
      <c r="C31" s="359"/>
      <c r="D31" s="361">
        <f>D30/(C28-D28)</f>
        <v>1.6956521739130428</v>
      </c>
    </row>
    <row r="32" spans="1:4">
      <c r="A32" s="354"/>
      <c r="B32" s="358"/>
      <c r="C32" s="359"/>
      <c r="D32" s="361"/>
    </row>
    <row r="33" spans="1:4">
      <c r="A33" s="362" t="s">
        <v>251</v>
      </c>
      <c r="B33" s="353"/>
      <c r="C33" s="353"/>
      <c r="D33" s="353"/>
    </row>
    <row r="34" spans="1:4">
      <c r="A34" s="354"/>
      <c r="B34" s="355" t="s">
        <v>226</v>
      </c>
      <c r="C34" s="356">
        <f>IF(B4="My own data",C8,C16)</f>
        <v>6.6</v>
      </c>
      <c r="D34" s="357">
        <f>C17*C34</f>
        <v>8.7119999999999997</v>
      </c>
    </row>
    <row r="35" spans="1:4">
      <c r="A35" s="354"/>
      <c r="B35" s="355" t="s">
        <v>230</v>
      </c>
      <c r="C35" s="356">
        <f>IF(B4="My own data",C8,C16)</f>
        <v>6.6</v>
      </c>
      <c r="D35" s="357">
        <f>C35*C18</f>
        <v>11.681999999999999</v>
      </c>
    </row>
    <row r="36" spans="1:4">
      <c r="A36" s="354"/>
      <c r="B36" s="358" t="s">
        <v>228</v>
      </c>
      <c r="C36" s="359"/>
      <c r="D36" s="360">
        <f>D35-D34</f>
        <v>2.9699999999999989</v>
      </c>
    </row>
    <row r="37" spans="1:4">
      <c r="A37" s="354"/>
      <c r="B37" s="358" t="s">
        <v>229</v>
      </c>
      <c r="C37" s="359"/>
      <c r="D37" s="361">
        <f>D36/(D34-C34)</f>
        <v>1.4062499999999993</v>
      </c>
    </row>
    <row r="38" spans="1:4">
      <c r="A38" s="354"/>
      <c r="B38" s="358"/>
      <c r="C38" s="359"/>
      <c r="D38" s="361"/>
    </row>
    <row r="39" spans="1:4">
      <c r="A39" s="362" t="s">
        <v>252</v>
      </c>
      <c r="B39" s="353"/>
      <c r="C39" s="353"/>
      <c r="D39" s="353"/>
    </row>
    <row r="40" spans="1:4">
      <c r="A40" s="354"/>
      <c r="B40" s="355" t="s">
        <v>218</v>
      </c>
      <c r="C40" s="357">
        <f>IF(B4="My own data",C9,C19)</f>
        <v>0</v>
      </c>
      <c r="D40" s="357">
        <f>D25*C20</f>
        <v>31.96</v>
      </c>
    </row>
    <row r="41" spans="1:4">
      <c r="A41" s="354"/>
      <c r="B41" s="355" t="s">
        <v>219</v>
      </c>
      <c r="C41" s="357">
        <f>IF(B4="My own data",C9,C19)</f>
        <v>0</v>
      </c>
      <c r="D41" s="357">
        <f>D25*C21</f>
        <v>84.600000000000009</v>
      </c>
    </row>
    <row r="42" spans="1:4">
      <c r="A42" s="354"/>
      <c r="B42" s="358" t="s">
        <v>228</v>
      </c>
      <c r="C42" s="359"/>
      <c r="D42" s="360">
        <f>D41-D40</f>
        <v>52.640000000000008</v>
      </c>
    </row>
    <row r="43" spans="1:4">
      <c r="A43" s="354"/>
      <c r="B43" s="358" t="s">
        <v>229</v>
      </c>
      <c r="C43" s="359"/>
      <c r="D43" s="361">
        <f>D42/(D40-C40)</f>
        <v>1.6470588235294119</v>
      </c>
    </row>
    <row r="44" spans="1:4">
      <c r="A44" s="336"/>
      <c r="B44" s="336"/>
      <c r="C44" s="336"/>
      <c r="D44" s="336"/>
    </row>
    <row r="45" spans="1:4" ht="25.5" customHeight="1">
      <c r="A45" s="438"/>
      <c r="B45" s="438"/>
      <c r="C45" s="438"/>
      <c r="D45" s="438"/>
    </row>
    <row r="46" spans="1:4">
      <c r="A46" s="50"/>
      <c r="B46" s="50"/>
      <c r="C46" s="50"/>
      <c r="D46" s="50"/>
    </row>
  </sheetData>
  <sheetProtection sheet="1" formatCells="0" formatColumns="0" formatRows="0" insertColumns="0" insertRows="0" insertHyperlinks="0" deleteColumns="0" deleteRows="0"/>
  <mergeCells count="21">
    <mergeCell ref="A1:D1"/>
    <mergeCell ref="A2:D2"/>
    <mergeCell ref="A21:B21"/>
    <mergeCell ref="A6:B6"/>
    <mergeCell ref="A7:B7"/>
    <mergeCell ref="A8:B8"/>
    <mergeCell ref="A9:B9"/>
    <mergeCell ref="A12:B12"/>
    <mergeCell ref="A13:B13"/>
    <mergeCell ref="A14:B14"/>
    <mergeCell ref="A15:B15"/>
    <mergeCell ref="A16:B16"/>
    <mergeCell ref="A17:B17"/>
    <mergeCell ref="A18:B18"/>
    <mergeCell ref="A19:B19"/>
    <mergeCell ref="A20:B20"/>
    <mergeCell ref="A26:D26"/>
    <mergeCell ref="A45:D45"/>
    <mergeCell ref="A25:B25"/>
    <mergeCell ref="A23:D23"/>
    <mergeCell ref="A11:D11"/>
  </mergeCells>
  <dataValidations count="1">
    <dataValidation type="whole" allowBlank="1" showInputMessage="1" showErrorMessage="1" error="Value entered must be between 0 and 14." sqref="C7 C8" xr:uid="{EF02CD09-1DED-4FF8-ACF3-5FA73D6CD8F9}">
      <formula1>0</formula1>
      <formula2>14</formula2>
    </dataValidation>
  </dataValidations>
  <pageMargins left="0.7" right="0.7" top="0.75" bottom="0.75" header="0.3" footer="0.3"/>
  <pageSetup paperSize="5" scale="92" orientation="portrait" r:id="rId1"/>
  <headerFooter>
    <oddHeader>&amp;C&amp;"-,Bold"&amp;14Table 3 B: Health Outcomes Projections</oddHeader>
  </headerFooter>
  <ignoredErrors>
    <ignoredError sqref="D7:D9"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Appendix!$A$87:$A$88</xm:f>
          </x14:formula1>
          <xm:sqref>B4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16</vt:i4>
      </vt:variant>
    </vt:vector>
  </HeadingPairs>
  <TitlesOfParts>
    <vt:vector size="33" baseType="lpstr">
      <vt:lpstr>Cover Page</vt:lpstr>
      <vt:lpstr>Contents</vt:lpstr>
      <vt:lpstr>Introduction</vt:lpstr>
      <vt:lpstr>Intervention</vt:lpstr>
      <vt:lpstr>Instructions</vt:lpstr>
      <vt:lpstr>Caseload</vt:lpstr>
      <vt:lpstr>Budget</vt:lpstr>
      <vt:lpstr>Outcomes A</vt:lpstr>
      <vt:lpstr>Outcomes B</vt:lpstr>
      <vt:lpstr>Medical Cost</vt:lpstr>
      <vt:lpstr>Social Return</vt:lpstr>
      <vt:lpstr>ROI</vt:lpstr>
      <vt:lpstr>Other Quality Measures</vt:lpstr>
      <vt:lpstr>Appendix</vt:lpstr>
      <vt:lpstr>Technical Notes</vt:lpstr>
      <vt:lpstr>Citations</vt:lpstr>
      <vt:lpstr>Acknowledgements</vt:lpstr>
      <vt:lpstr>Instructions!_Hlk523487265</vt:lpstr>
      <vt:lpstr>Instructions!_Hlk523488141</vt:lpstr>
      <vt:lpstr>Introduction!_Toc523816525</vt:lpstr>
      <vt:lpstr>Instructions!_Toc523816527</vt:lpstr>
      <vt:lpstr>'Technical Notes'!_Toc523816535</vt:lpstr>
      <vt:lpstr>Acknowledgements!_Toc523816536</vt:lpstr>
      <vt:lpstr>Appendix!Print_Area</vt:lpstr>
      <vt:lpstr>Budget!Print_Area</vt:lpstr>
      <vt:lpstr>Caseload!Print_Area</vt:lpstr>
      <vt:lpstr>'Cover Page'!Print_Area</vt:lpstr>
      <vt:lpstr>'Medical Cost'!Print_Area</vt:lpstr>
      <vt:lpstr>'Other Quality Measures'!Print_Area</vt:lpstr>
      <vt:lpstr>'Outcomes A'!Print_Area</vt:lpstr>
      <vt:lpstr>'Outcomes B'!Print_Area</vt:lpstr>
      <vt:lpstr>ROI!Print_Area</vt:lpstr>
      <vt:lpstr>'Social Return'!Print_Area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Velez, Enid</dc:creator>
  <cp:lastModifiedBy>Tourish, Jeremy</cp:lastModifiedBy>
  <cp:lastPrinted>2018-10-25T20:22:18Z</cp:lastPrinted>
  <dcterms:created xsi:type="dcterms:W3CDTF">2018-08-08T19:34:13Z</dcterms:created>
  <dcterms:modified xsi:type="dcterms:W3CDTF">2018-11-08T17:01:49Z</dcterms:modified>
</cp:coreProperties>
</file>